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480" yWindow="30" windowWidth="18195" windowHeight="8895" activeTab="0"/>
  </bookViews>
  <sheets>
    <sheet name="Input" sheetId="1" r:id="rId1"/>
    <sheet name="Cost Benefit Results" sheetId="2" r:id="rId2"/>
    <sheet name="Cash Flow Data" sheetId="3" r:id="rId3"/>
    <sheet name="Cash Flow Chart" sheetId="4" r:id="rId4"/>
    <sheet name="Translation" sheetId="5" state="hidden" r:id="rId5"/>
    <sheet name="Sheet1" sheetId="6" r:id="rId6"/>
  </sheets>
  <definedNames>
    <definedName name="CumulativeSavings">OFFSET('Cash Flow Data'!$L$19,3,0,'Cash Flow Data'!$O$22)</definedName>
    <definedName name="ExistingLampMonthlyTotalCosts">OFFSET('Cash Flow Data'!$J$20,2,0,'Cash Flow Data'!$O$22)</definedName>
    <definedName name="Month">OFFSET('Cash Flow Data'!$B$19,3,0,'Cash Flow Data'!$O$22,1)</definedName>
    <definedName name="MonthlySavings">OFFSET('Cash Flow Data'!$K$19,3,0,'Cash Flow Data'!$O$22)</definedName>
    <definedName name="NewLampMonthlyTotalCosts">OFFSET('Cash Flow Data'!$F$20,2,0,'Cash Flow Data'!$O$22)</definedName>
    <definedName name="_xlnm.Print_Area" localSheetId="2">'Cash Flow Data'!$A$1:$L$144</definedName>
    <definedName name="_xlnm.Print_Area" localSheetId="1">'Cost Benefit Results'!$A$1:$T$36</definedName>
    <definedName name="_xlnm.Print_Area" localSheetId="0">'Input'!$A$1:$J$28</definedName>
  </definedNames>
  <calcPr fullCalcOnLoad="1"/>
</workbook>
</file>

<file path=xl/sharedStrings.xml><?xml version="1.0" encoding="utf-8"?>
<sst xmlns="http://schemas.openxmlformats.org/spreadsheetml/2006/main" count="280" uniqueCount="246">
  <si>
    <t>Month</t>
  </si>
  <si>
    <t>CumulativeSavings</t>
  </si>
  <si>
    <t>ExistingLampMonthlyTotalCosts</t>
  </si>
  <si>
    <t>NewLampMonthlyTotalCosts</t>
  </si>
  <si>
    <t>"return value from the check box on homepage"</t>
  </si>
  <si>
    <t>Chinese</t>
  </si>
  <si>
    <t>Translation</t>
  </si>
  <si>
    <t>English</t>
  </si>
  <si>
    <t>Lighting Replacement Life Cycle Cost Benefits Analysis</t>
  </si>
  <si>
    <t>现有灯泡（管）</t>
  </si>
  <si>
    <t>灯泡（管）型号</t>
  </si>
  <si>
    <t>新灯泡（管）</t>
  </si>
  <si>
    <t>Cost Benefits</t>
  </si>
  <si>
    <t>成本收益</t>
  </si>
  <si>
    <t>现金流</t>
  </si>
  <si>
    <t>Lamp model</t>
  </si>
  <si>
    <t>Months</t>
  </si>
  <si>
    <t>灯泡（管）购置费用</t>
  </si>
  <si>
    <t>月</t>
  </si>
  <si>
    <t>Back to Input</t>
  </si>
  <si>
    <t>每月节约费用</t>
  </si>
  <si>
    <t>能源费用</t>
  </si>
  <si>
    <t>Analysis period</t>
  </si>
  <si>
    <t>Energy savings</t>
  </si>
  <si>
    <t>Lamp cost savings</t>
  </si>
  <si>
    <t>Initial cost</t>
  </si>
  <si>
    <t>Notes:</t>
  </si>
  <si>
    <t># of lamps needed in the analysis period</t>
  </si>
  <si>
    <t>采用ROUNDUP向上取整</t>
  </si>
  <si>
    <t>有可能会影响买灯的时间及成本计算-在cash flow中要注意</t>
  </si>
  <si>
    <t>existing lamp initial cost is 0</t>
  </si>
  <si>
    <t>Total cost for existing lamsp</t>
  </si>
  <si>
    <t xml:space="preserve"> each lamp cost*(total lamp used-1)</t>
  </si>
  <si>
    <t>don't include the 1st existing lamp cost</t>
  </si>
  <si>
    <t xml:space="preserve">Total energy cost </t>
  </si>
  <si>
    <t>Payback</t>
  </si>
  <si>
    <t>Operating hours annually</t>
  </si>
  <si>
    <t>total hours operating lamps within analysis period/lamp lifetime= (operation hours annually* analyis years)/lifetime</t>
  </si>
  <si>
    <t>tariff*(annually operation hours*analysis period)/1000</t>
  </si>
  <si>
    <t>Year</t>
  </si>
  <si>
    <t>Month</t>
  </si>
  <si>
    <t>Initial cost for one new lamp</t>
  </si>
  <si>
    <t>Other cost</t>
  </si>
  <si>
    <t>Total savings</t>
  </si>
  <si>
    <t>New lamp energy cost</t>
  </si>
  <si>
    <t>Simple Pack Period</t>
  </si>
  <si>
    <t>W</t>
  </si>
  <si>
    <t>Use new lamp lifetime as the calculation period, instead of using annual data, for energy savings and number of lamps used in one spot</t>
  </si>
  <si>
    <t>costs for total Existing lamps used in the same spot calculation period</t>
  </si>
  <si>
    <t>Eneryg savings in calculation period</t>
  </si>
  <si>
    <t>=</t>
  </si>
  <si>
    <t>costs for one new lamp used in the same spot in calculation period</t>
  </si>
  <si>
    <t>将6000小时的节约量折算到年。</t>
  </si>
  <si>
    <t>Lamps cost savings</t>
  </si>
  <si>
    <t xml:space="preserve">Payback=Initial investment/total savings in calculation period=initial investment for  new lamp/(Energy Savings in calculation period+Lamps costs savings in calculation </t>
  </si>
  <si>
    <t xml:space="preserve">Initial cost </t>
  </si>
  <si>
    <t>equal to one new lamp cost+other cost (if any)</t>
  </si>
  <si>
    <t>Other savings, e.g. maintenance</t>
  </si>
  <si>
    <t>Savings</t>
  </si>
  <si>
    <t>The payback period is taken accounted for ONE lamp replacement, so the calcualtion period is Lifetime of New Lamp, instead of using annual data</t>
  </si>
  <si>
    <t>Energy cost saving</t>
  </si>
  <si>
    <t>equal to sum (energy cost savings+lamp cost savings)</t>
  </si>
  <si>
    <t>equal to (Existing lamp energy cost-New lamp energy cost in calcualtion period)</t>
  </si>
  <si>
    <t>(existing lamp rated power*0.001*Operating time* tariff)-(new lamp rated power*0.001*Operating time* tariff)</t>
  </si>
  <si>
    <t>Operating hours=new lamp lifetime. See notes 1.</t>
  </si>
  <si>
    <t>equal to (total cost for purchase of extra existing lamps for one spot in calculation period)- cost for new lamp</t>
  </si>
  <si>
    <t>(Purchase cost for number of extra existing lamps will be used in one spot during the calculation period)-one new lamp cost</t>
  </si>
  <si>
    <t>per Existing lamp cost*[roundup(new lamp lifetime/existing lamp lifetime)-1]</t>
  </si>
  <si>
    <t>/cost for the 1st existing lamps is 0.</t>
  </si>
  <si>
    <t>(Per existing lamp cost* number of extra existing lamps used in one spot during the calculation period)-one new lamp cost</t>
  </si>
  <si>
    <t>initial cost/savings=initial costs for purchase of 1st set of new lamps/(energy saving+lamp cost saving)in the calculation period, calculation period= new lamp lifetime. This formula is to get the payback period for one new lamp (in its lifetime)</t>
  </si>
  <si>
    <t>Calculation</t>
  </si>
  <si>
    <t>Per Lamp replacement Payback Period Calculation</t>
  </si>
  <si>
    <t>Multi-spots Replacement Payback Period Calculation</t>
  </si>
  <si>
    <t>Initial cost for new lamps</t>
  </si>
  <si>
    <t>costs for new lamps used in the same spot in calculation period</t>
  </si>
  <si>
    <t>costs for total of extra existing lamps used calculation period</t>
  </si>
  <si>
    <t>equal to number of extra e-lamps used in one-spot * number of existing spots* lamp price</t>
  </si>
  <si>
    <t>New lamps energy costs</t>
  </si>
  <si>
    <t>Existing lamp energy cost</t>
  </si>
  <si>
    <t>Existing lamps energy costs</t>
  </si>
  <si>
    <t>Year, or</t>
  </si>
  <si>
    <t>Notes</t>
  </si>
  <si>
    <t>Total Initial Cost</t>
  </si>
  <si>
    <t>Cost-savings calculation in analysis period</t>
  </si>
  <si>
    <t>Total Cost</t>
  </si>
  <si>
    <t># of new lamps used in analysis period</t>
  </si>
  <si>
    <t># of existing lamps used in analysis period</t>
  </si>
  <si>
    <t>purchase costs for new lamps</t>
  </si>
  <si>
    <t>other costs</t>
  </si>
  <si>
    <t>Lamp costs</t>
  </si>
  <si>
    <t>Existing lamps energy use in analysis period</t>
  </si>
  <si>
    <t>New lamps energy use in the analysis period</t>
  </si>
  <si>
    <t>purchase costs for extra existing lamps</t>
  </si>
  <si>
    <t>New lamps energy cost</t>
  </si>
  <si>
    <t>rmb</t>
  </si>
  <si>
    <t>kWh</t>
  </si>
  <si>
    <t>Energy use&amp;Energy costs</t>
  </si>
  <si>
    <t>Environment savings</t>
  </si>
  <si>
    <t>CO2 emission factor</t>
  </si>
  <si>
    <t>kgCO2/kWh</t>
  </si>
  <si>
    <t>kg</t>
  </si>
  <si>
    <t>CO2 emission reduction</t>
  </si>
  <si>
    <t>roundup(total operation hours/new lamp lifetime)* # of spots</t>
  </si>
  <si>
    <t>operation hrs=annual operation hrs*analysis years</t>
  </si>
  <si>
    <r>
      <t xml:space="preserve">1. </t>
    </r>
    <r>
      <rPr>
        <b/>
        <i/>
        <sz val="9"/>
        <rFont val="Arial"/>
        <family val="2"/>
      </rPr>
      <t># of new lamps used in analysis period</t>
    </r>
  </si>
  <si>
    <t>2. purchase costs for extra existing lamps=(total number of lamps used - 1st set of lamps existed)* e-lamp cost</t>
  </si>
  <si>
    <r>
      <rPr>
        <b/>
        <i/>
        <sz val="10"/>
        <rFont val="Arial"/>
        <family val="2"/>
      </rPr>
      <t>New lamp energy use</t>
    </r>
    <r>
      <rPr>
        <sz val="10"/>
        <rFont val="Arial"/>
        <family val="2"/>
      </rPr>
      <t xml:space="preserve"> in the analysis period=rated power*0.001*operation hours*#of spots</t>
    </r>
  </si>
  <si>
    <t>operation hours=annual operation hrs* analysis years</t>
  </si>
  <si>
    <t>kgCO2e</t>
  </si>
  <si>
    <t>New lamps</t>
  </si>
  <si>
    <t>-</t>
  </si>
  <si>
    <t>何时换灯：operating hours==lifetime 需要换灯，在当月的费用中增加灯成本；</t>
  </si>
  <si>
    <t>operating hours=monthly operating hours*months</t>
  </si>
  <si>
    <t>Note 2: Energy Cost= monthly operation hours*(rated power)*# of spots*tariff</t>
  </si>
  <si>
    <t>Notes 1: when to replace a lamp as the previous one dead after the lifetime--- Use“number of lamps used for one spot''. Initial value of 'number of lamps used'=1, 判断语句if (actuall operating hrs/(lifetime*current number of lamps used per spot))&gt;=1, then 'number of lamps used' increase by 1, if number of lamps changed comparing with the above cell, the lamp cost increased/</t>
  </si>
  <si>
    <t>Existing lamps</t>
  </si>
  <si>
    <t>analysis year celling: 10years</t>
  </si>
  <si>
    <t>Currency used</t>
  </si>
  <si>
    <t>$</t>
  </si>
  <si>
    <t>￥</t>
  </si>
  <si>
    <t>Chooesed Currency</t>
  </si>
  <si>
    <t>End</t>
  </si>
  <si>
    <t>Monthly Savings</t>
  </si>
  <si>
    <t>OFFSET(B17,2,0,$N$19,1)</t>
  </si>
  <si>
    <t>返回输入</t>
  </si>
  <si>
    <t xml:space="preserve">Price for each lamp </t>
  </si>
  <si>
    <t>灯泡单价</t>
  </si>
  <si>
    <t>返回输入</t>
  </si>
  <si>
    <t xml:space="preserve">Wattage </t>
  </si>
  <si>
    <t>功率</t>
  </si>
  <si>
    <r>
      <t>(</t>
    </r>
    <r>
      <rPr>
        <sz val="10"/>
        <rFont val="Arial"/>
        <family val="2"/>
      </rPr>
      <t>W)</t>
    </r>
  </si>
  <si>
    <t>(W)</t>
  </si>
  <si>
    <t>照明节能改造全寿命成本收益分析</t>
  </si>
  <si>
    <t xml:space="preserve">Lamp lifetime </t>
  </si>
  <si>
    <t>灯泡（管）寿命</t>
  </si>
  <si>
    <t>(hrs)</t>
  </si>
  <si>
    <t>(小时)</t>
  </si>
  <si>
    <t>每年使用照明灯具时间</t>
  </si>
  <si>
    <t>(hrs)</t>
  </si>
  <si>
    <t>(小时/年)</t>
  </si>
  <si>
    <t>Existing Lamp(s)</t>
  </si>
  <si>
    <t>Number of existing lamp(s) to be replaced once</t>
  </si>
  <si>
    <t>New Lamp(s)</t>
  </si>
  <si>
    <t>一次性更换的现有灯泡（管）数量</t>
  </si>
  <si>
    <t>(只)</t>
  </si>
  <si>
    <t>Number of new lamps to be used once ?</t>
  </si>
  <si>
    <t>一次性更换使用的新灯泡（管）数量</t>
  </si>
  <si>
    <t>Electricity rate</t>
  </si>
  <si>
    <t>电价</t>
  </si>
  <si>
    <t>per kWh</t>
  </si>
  <si>
    <t>每度电</t>
  </si>
  <si>
    <t>Currency</t>
  </si>
  <si>
    <t>货币</t>
  </si>
  <si>
    <t xml:space="preserve">Analysis period </t>
  </si>
  <si>
    <t>(Year)</t>
  </si>
  <si>
    <t>(年)</t>
  </si>
  <si>
    <t>Cost Benefit Aanlysis Results</t>
  </si>
  <si>
    <t>成本收益分析</t>
  </si>
  <si>
    <t>Lamp Information</t>
  </si>
  <si>
    <t>灯泡（管）信息</t>
  </si>
  <si>
    <t>Lifetime</t>
  </si>
  <si>
    <t>寿命</t>
  </si>
  <si>
    <t>hrs</t>
  </si>
  <si>
    <t>小时</t>
  </si>
  <si>
    <t>New Lamp</t>
  </si>
  <si>
    <t>Existing Lamp</t>
  </si>
  <si>
    <t xml:space="preserve">Wattage </t>
  </si>
  <si>
    <t>功率</t>
  </si>
  <si>
    <t>Simple Payback Period</t>
  </si>
  <si>
    <t>简单投资回收期</t>
  </si>
  <si>
    <t>单只灯泡（管）替换</t>
  </si>
  <si>
    <t>Multi-spots Replacement</t>
  </si>
  <si>
    <t>One Lamp Replacement</t>
  </si>
  <si>
    <t>多只灯泡（管）替换</t>
  </si>
  <si>
    <t>Initial Cost</t>
  </si>
  <si>
    <t>初始投资</t>
  </si>
  <si>
    <t>Payback Period</t>
  </si>
  <si>
    <t>投资回收期</t>
  </si>
  <si>
    <t>Years or</t>
  </si>
  <si>
    <t>年 （或）</t>
  </si>
  <si>
    <t>Spots to use new lamps</t>
  </si>
  <si>
    <t>只新灯泡（管）使用</t>
  </si>
  <si>
    <t>Months</t>
  </si>
  <si>
    <t>月</t>
  </si>
  <si>
    <t>Next Page</t>
  </si>
  <si>
    <t>Cost and Savings</t>
  </si>
  <si>
    <t>成本和节约</t>
  </si>
  <si>
    <t xml:space="preserve">Analysis Period </t>
  </si>
  <si>
    <t>Costs in Analysis Period</t>
  </si>
  <si>
    <t>Existing Lamp(s)</t>
  </si>
  <si>
    <t>现有灯泡（管）</t>
  </si>
  <si>
    <t>New Lamp(s)</t>
  </si>
  <si>
    <t>Total Number of Lamp Used</t>
  </si>
  <si>
    <t>Costs for Lamp Purchase</t>
  </si>
  <si>
    <t>Energy Costs</t>
  </si>
  <si>
    <t>Total Costs</t>
  </si>
  <si>
    <t>Savings in Analysis Period</t>
  </si>
  <si>
    <t>Environment benefits</t>
  </si>
  <si>
    <t>Energy Savings</t>
  </si>
  <si>
    <t>新灯泡（管）</t>
  </si>
  <si>
    <t>使用的灯泡（管）数量</t>
  </si>
  <si>
    <t>分析期内成本</t>
  </si>
  <si>
    <t>分析期</t>
  </si>
  <si>
    <t>购买灯泡（管）费用</t>
  </si>
  <si>
    <t>能源费用</t>
  </si>
  <si>
    <t>费用成本总计</t>
  </si>
  <si>
    <t>分析期内节约</t>
  </si>
  <si>
    <t>环境效益</t>
  </si>
  <si>
    <t>CO2 Emission Reduction</t>
  </si>
  <si>
    <t>减少CO2排放</t>
  </si>
  <si>
    <t>Year</t>
  </si>
  <si>
    <t>年</t>
  </si>
  <si>
    <t>节约能源</t>
  </si>
  <si>
    <t>Next Page: Cash Flow Comparison</t>
  </si>
  <si>
    <t>New Lamp(s) Costs</t>
  </si>
  <si>
    <t>新灯泡（管）费用</t>
  </si>
  <si>
    <t>Existing Lamp(s) Costs</t>
  </si>
  <si>
    <t>现有灯泡（管）费用</t>
  </si>
  <si>
    <t>累积节约费用</t>
  </si>
  <si>
    <t xml:space="preserve">Cumulative savings </t>
  </si>
  <si>
    <t>期内每置换点所需更换的灯泡（管）数量</t>
  </si>
  <si>
    <t xml:space="preserve">Lamp Costs </t>
  </si>
  <si>
    <t xml:space="preserve">Energy Costs </t>
  </si>
  <si>
    <t xml:space="preserve">#of Lamps Used Per Spot </t>
  </si>
  <si>
    <t>定义动态名称</t>
  </si>
  <si>
    <t>Cash Flow Comparison Table</t>
  </si>
  <si>
    <t>现金流比较数据表</t>
  </si>
  <si>
    <t>Cash Flow Chart</t>
  </si>
  <si>
    <t>现金流</t>
  </si>
  <si>
    <r>
      <t>Notes:</t>
    </r>
    <r>
      <rPr>
        <sz val="9"/>
        <rFont val="宋体"/>
        <family val="0"/>
      </rPr>
      <t>由于</t>
    </r>
    <r>
      <rPr>
        <sz val="9"/>
        <rFont val="arial"/>
        <family val="2"/>
      </rPr>
      <t>Month</t>
    </r>
    <r>
      <rPr>
        <sz val="9"/>
        <rFont val="宋体"/>
        <family val="0"/>
      </rPr>
      <t>随着用户所选择</t>
    </r>
    <r>
      <rPr>
        <sz val="9"/>
        <rFont val="arial"/>
        <family val="2"/>
      </rPr>
      <t xml:space="preserve">Analysis period </t>
    </r>
    <r>
      <rPr>
        <sz val="9"/>
        <rFont val="宋体"/>
        <family val="0"/>
      </rPr>
      <t>而变化，因此需要动态定义各参数。这里定义</t>
    </r>
    <r>
      <rPr>
        <sz val="9"/>
        <rFont val="arial"/>
        <family val="2"/>
      </rPr>
      <t>Month</t>
    </r>
    <r>
      <rPr>
        <sz val="9"/>
        <rFont val="宋体"/>
        <family val="0"/>
      </rPr>
      <t>、</t>
    </r>
    <r>
      <rPr>
        <sz val="9"/>
        <rFont val="arial"/>
        <family val="2"/>
      </rPr>
      <t xml:space="preserve">NewLampMonthlyTotalCosts, ExistingLampMonthlyTotalCosts,MonthlySavings, </t>
    </r>
    <r>
      <rPr>
        <sz val="9"/>
        <rFont val="宋体"/>
        <family val="0"/>
      </rPr>
      <t>及</t>
    </r>
    <r>
      <rPr>
        <sz val="9"/>
        <rFont val="arial"/>
        <family val="2"/>
      </rPr>
      <t>CumulativeSavings,</t>
    </r>
    <r>
      <rPr>
        <sz val="9"/>
        <rFont val="宋体"/>
        <family val="0"/>
      </rPr>
      <t>并用于画图</t>
    </r>
  </si>
  <si>
    <t>Ctrl+F3=&gt; to open the dynamic definitions</t>
  </si>
  <si>
    <t>New Lamp(s) Total Costs</t>
  </si>
  <si>
    <t>新灯泡（管）费用支出总计</t>
  </si>
  <si>
    <t>Existing Lamp(s) Total Costs</t>
  </si>
  <si>
    <t>现有灯泡（管）费用支出总计</t>
  </si>
  <si>
    <t>Next Page: Cash Flow Comparison Table</t>
  </si>
  <si>
    <t>Cash Flow Chart</t>
  </si>
  <si>
    <t>现金流比较图</t>
  </si>
  <si>
    <t>Input Lamp Replacement Information</t>
  </si>
  <si>
    <t>输入更换灯泡（管）的信息</t>
  </si>
  <si>
    <t>CFJ</t>
  </si>
  <si>
    <t>Print</t>
  </si>
  <si>
    <t>打印</t>
  </si>
  <si>
    <t>Incandecent</t>
  </si>
  <si>
    <t>￥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</si>
</sst>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0_ "/>
    <numFmt numFmtId="182" formatCode="0.0_ "/>
    <numFmt numFmtId="183" formatCode="0_ "/>
    <numFmt numFmtId="184" formatCode="0.00_);[Red]\(0.00\)"/>
    <numFmt numFmtId="185" formatCode="0.0000"/>
    <numFmt numFmtId="186" formatCode="0.000"/>
    <numFmt numFmtId="187" formatCode="0.0"/>
    <numFmt numFmtId="188" formatCode="0.0000000"/>
    <numFmt numFmtId="189" formatCode="0.000000"/>
    <numFmt numFmtId="190" formatCode="0.00000"/>
    <numFmt numFmtId="191" formatCode="_ * #,##0.0_ ;_ * \-#,##0.0_ ;_ * &quot;-&quot;??_ ;_ @_ "/>
    <numFmt numFmtId="192" formatCode="_ * #,##0_ ;_ * \-#,##0_ ;_ * &quot;-&quot;??_ ;_ @_ "/>
  </numFmts>
  <fonts count="95">
    <font>
      <sz val="12"/>
      <name val="宋体"/>
      <family val="0"/>
    </font>
    <font>
      <sz val="9"/>
      <name val="宋体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color indexed="18"/>
      <name val="Arial"/>
      <family val="2"/>
    </font>
    <font>
      <b/>
      <sz val="14"/>
      <color indexed="18"/>
      <name val="Arial"/>
      <family val="2"/>
    </font>
    <font>
      <b/>
      <sz val="10"/>
      <name val="Arial"/>
      <family val="2"/>
    </font>
    <font>
      <sz val="12"/>
      <color indexed="9"/>
      <name val="Arial"/>
      <family val="2"/>
    </font>
    <font>
      <sz val="12"/>
      <name val="$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9"/>
      <name val="宋体"/>
      <family val="0"/>
    </font>
    <font>
      <sz val="10"/>
      <name val="宋体"/>
      <family val="0"/>
    </font>
    <font>
      <b/>
      <sz val="16"/>
      <color indexed="9"/>
      <name val="Arial"/>
      <family val="2"/>
    </font>
    <font>
      <sz val="11"/>
      <name val="Tahoma"/>
      <family val="2"/>
    </font>
    <font>
      <b/>
      <sz val="14"/>
      <color indexed="9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i/>
      <sz val="9"/>
      <name val="Arial"/>
      <family val="2"/>
    </font>
    <font>
      <u val="single"/>
      <sz val="10"/>
      <name val="Arial"/>
      <family val="2"/>
    </font>
    <font>
      <b/>
      <i/>
      <sz val="9"/>
      <name val="Arial"/>
      <family val="2"/>
    </font>
    <font>
      <b/>
      <sz val="12"/>
      <name val="宋体"/>
      <family val="0"/>
    </font>
    <font>
      <b/>
      <i/>
      <u val="single"/>
      <sz val="9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sz val="14"/>
      <color indexed="30"/>
      <name val="Arial"/>
      <family val="2"/>
    </font>
    <font>
      <u val="single"/>
      <sz val="11"/>
      <color indexed="9"/>
      <name val="Arial"/>
      <family val="2"/>
    </font>
    <font>
      <b/>
      <u val="single"/>
      <sz val="14"/>
      <color indexed="9"/>
      <name val="Arial"/>
      <family val="2"/>
    </font>
    <font>
      <b/>
      <sz val="16"/>
      <color indexed="18"/>
      <name val="Arial"/>
      <family val="2"/>
    </font>
    <font>
      <sz val="11"/>
      <color indexed="8"/>
      <name val="Arial"/>
      <family val="2"/>
    </font>
    <font>
      <sz val="11"/>
      <name val="宋体"/>
      <family val="0"/>
    </font>
    <font>
      <b/>
      <u val="single"/>
      <sz val="12"/>
      <color indexed="8"/>
      <name val="Arial"/>
      <family val="2"/>
    </font>
    <font>
      <b/>
      <u val="single"/>
      <sz val="12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Arial"/>
      <family val="2"/>
    </font>
    <font>
      <sz val="10"/>
      <color indexed="63"/>
      <name val="Arial"/>
      <family val="2"/>
    </font>
    <font>
      <sz val="11"/>
      <color indexed="63"/>
      <name val="Arial"/>
      <family val="2"/>
    </font>
    <font>
      <sz val="9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sz val="10"/>
      <color indexed="8"/>
      <name val="宋体"/>
      <family val="0"/>
    </font>
    <font>
      <sz val="9"/>
      <color indexed="55"/>
      <name val="Arial"/>
      <family val="2"/>
    </font>
    <font>
      <sz val="9"/>
      <color indexed="9"/>
      <name val="Arial"/>
      <family val="2"/>
    </font>
    <font>
      <sz val="7.55"/>
      <color indexed="8"/>
      <name val="Arial"/>
      <family val="0"/>
    </font>
    <font>
      <sz val="10.75"/>
      <color indexed="8"/>
      <name val="Arial"/>
      <family val="0"/>
    </font>
    <font>
      <sz val="8.25"/>
      <color indexed="8"/>
      <name val="arial"/>
      <family val="0"/>
    </font>
    <font>
      <b/>
      <sz val="12"/>
      <color indexed="8"/>
      <name val="Arial"/>
      <family val="0"/>
    </font>
    <font>
      <sz val="8.4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20"/>
      <color indexed="9"/>
      <name val="宋体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FF00"/>
        <bgColor indexed="64"/>
      </patternFill>
    </fill>
  </fills>
  <borders count="1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medium"/>
      <right style="medium">
        <color indexed="9"/>
      </right>
      <top style="medium"/>
      <bottom style="medium">
        <color indexed="9"/>
      </bottom>
    </border>
    <border>
      <left style="medium">
        <color indexed="9"/>
      </left>
      <right style="medium">
        <color indexed="9"/>
      </right>
      <top style="medium"/>
      <bottom style="medium">
        <color indexed="9"/>
      </bottom>
    </border>
    <border>
      <left style="medium">
        <color indexed="9"/>
      </left>
      <right style="medium"/>
      <top style="medium"/>
      <bottom style="medium">
        <color indexed="9"/>
      </bottom>
    </border>
    <border>
      <left style="medium"/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/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/>
    </border>
    <border>
      <left style="medium">
        <color indexed="9"/>
      </left>
      <right style="medium"/>
      <top style="medium">
        <color indexed="9"/>
      </top>
      <bottom style="medium"/>
    </border>
    <border>
      <left style="medium"/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 style="medium"/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medium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 style="medium"/>
      <bottom>
        <color indexed="63"/>
      </bottom>
    </border>
    <border>
      <left style="thin">
        <color indexed="9"/>
      </left>
      <right style="thin">
        <color indexed="9"/>
      </right>
      <top style="medium"/>
      <bottom>
        <color indexed="63"/>
      </bottom>
    </border>
    <border>
      <left style="thin">
        <color indexed="9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9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 style="thin"/>
      <bottom style="medium"/>
    </border>
    <border>
      <left style="thin">
        <color indexed="9"/>
      </left>
      <right style="thin">
        <color indexed="9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9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>
        <color indexed="63"/>
      </left>
      <right style="thin">
        <color indexed="9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thin">
        <color indexed="9"/>
      </top>
      <bottom style="thin">
        <color indexed="9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medium"/>
      <top style="thin">
        <color indexed="9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9"/>
      </left>
      <right>
        <color indexed="63"/>
      </right>
      <top style="thin"/>
      <bottom style="thin"/>
    </border>
    <border>
      <left style="thin">
        <color indexed="9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0" applyNumberFormat="0" applyBorder="0" applyAlignment="0" applyProtection="0"/>
    <xf numFmtId="0" fontId="81" fillId="27" borderId="1" applyNumberFormat="0" applyAlignment="0" applyProtection="0"/>
    <xf numFmtId="0" fontId="8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8" fillId="30" borderId="1" applyNumberFormat="0" applyAlignment="0" applyProtection="0"/>
    <xf numFmtId="0" fontId="89" fillId="0" borderId="6" applyNumberFormat="0" applyFill="0" applyAlignment="0" applyProtection="0"/>
    <xf numFmtId="0" fontId="90" fillId="31" borderId="0" applyNumberFormat="0" applyBorder="0" applyAlignment="0" applyProtection="0"/>
    <xf numFmtId="0" fontId="0" fillId="32" borderId="7" applyNumberFormat="0" applyFont="0" applyAlignment="0" applyProtection="0"/>
    <xf numFmtId="0" fontId="91" fillId="27" borderId="8" applyNumberFormat="0" applyAlignment="0" applyProtection="0"/>
    <xf numFmtId="9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9" applyNumberFormat="0" applyFill="0" applyAlignment="0" applyProtection="0"/>
    <xf numFmtId="0" fontId="94" fillId="0" borderId="0" applyNumberFormat="0" applyFill="0" applyBorder="0" applyAlignment="0" applyProtection="0"/>
  </cellStyleXfs>
  <cellXfs count="37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180" fontId="10" fillId="0" borderId="0" xfId="0" applyNumberFormat="1" applyFont="1" applyBorder="1" applyAlignment="1">
      <alignment vertical="center"/>
    </xf>
    <xf numFmtId="180" fontId="11" fillId="0" borderId="0" xfId="0" applyNumberFormat="1" applyFont="1" applyBorder="1" applyAlignment="1">
      <alignment vertical="center"/>
    </xf>
    <xf numFmtId="180" fontId="1" fillId="0" borderId="0" xfId="0" applyNumberFormat="1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27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14" fillId="34" borderId="0" xfId="0" applyFont="1" applyFill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7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21" fillId="35" borderId="33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11" xfId="0" applyFont="1" applyFill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34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5" fillId="36" borderId="0" xfId="0" applyFont="1" applyFill="1" applyAlignment="1">
      <alignment vertical="center"/>
    </xf>
    <xf numFmtId="0" fontId="22" fillId="36" borderId="0" xfId="0" applyFont="1" applyFill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35" xfId="0" applyFont="1" applyBorder="1" applyAlignment="1">
      <alignment vertical="center"/>
    </xf>
    <xf numFmtId="0" fontId="25" fillId="0" borderId="35" xfId="0" applyFont="1" applyBorder="1" applyAlignment="1">
      <alignment vertical="center"/>
    </xf>
    <xf numFmtId="0" fontId="22" fillId="0" borderId="36" xfId="0" applyFont="1" applyBorder="1" applyAlignment="1">
      <alignment vertical="center"/>
    </xf>
    <xf numFmtId="0" fontId="25" fillId="33" borderId="0" xfId="0" applyFont="1" applyFill="1" applyAlignment="1">
      <alignment vertical="center"/>
    </xf>
    <xf numFmtId="0" fontId="22" fillId="33" borderId="0" xfId="0" applyFont="1" applyFill="1" applyAlignment="1">
      <alignment vertical="center"/>
    </xf>
    <xf numFmtId="2" fontId="25" fillId="33" borderId="0" xfId="0" applyNumberFormat="1" applyFont="1" applyFill="1" applyAlignment="1">
      <alignment vertical="center"/>
    </xf>
    <xf numFmtId="0" fontId="24" fillId="33" borderId="0" xfId="0" applyFont="1" applyFill="1" applyAlignment="1">
      <alignment vertical="center"/>
    </xf>
    <xf numFmtId="0" fontId="28" fillId="33" borderId="0" xfId="0" applyFont="1" applyFill="1" applyAlignment="1">
      <alignment vertical="center"/>
    </xf>
    <xf numFmtId="0" fontId="34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1" fontId="27" fillId="36" borderId="0" xfId="0" applyNumberFormat="1" applyFont="1" applyFill="1" applyAlignment="1">
      <alignment vertical="center"/>
    </xf>
    <xf numFmtId="0" fontId="27" fillId="36" borderId="0" xfId="0" applyFont="1" applyFill="1" applyAlignment="1">
      <alignment vertical="center"/>
    </xf>
    <xf numFmtId="0" fontId="29" fillId="37" borderId="0" xfId="0" applyFont="1" applyFill="1" applyAlignment="1">
      <alignment vertical="center"/>
    </xf>
    <xf numFmtId="2" fontId="22" fillId="0" borderId="0" xfId="0" applyNumberFormat="1" applyFont="1" applyAlignment="1">
      <alignment vertical="center"/>
    </xf>
    <xf numFmtId="2" fontId="22" fillId="33" borderId="0" xfId="0" applyNumberFormat="1" applyFont="1" applyFill="1" applyAlignment="1">
      <alignment vertical="center"/>
    </xf>
    <xf numFmtId="2" fontId="24" fillId="0" borderId="0" xfId="0" applyNumberFormat="1" applyFont="1" applyAlignment="1">
      <alignment vertical="center"/>
    </xf>
    <xf numFmtId="186" fontId="25" fillId="33" borderId="0" xfId="0" applyNumberFormat="1" applyFont="1" applyFill="1" applyAlignment="1">
      <alignment vertical="center"/>
    </xf>
    <xf numFmtId="0" fontId="31" fillId="0" borderId="0" xfId="0" applyFont="1" applyAlignment="1">
      <alignment vertical="center"/>
    </xf>
    <xf numFmtId="0" fontId="22" fillId="0" borderId="14" xfId="0" applyFont="1" applyBorder="1" applyAlignment="1">
      <alignment vertical="center"/>
    </xf>
    <xf numFmtId="2" fontId="22" fillId="0" borderId="35" xfId="0" applyNumberFormat="1" applyFont="1" applyBorder="1" applyAlignment="1">
      <alignment vertical="center"/>
    </xf>
    <xf numFmtId="0" fontId="22" fillId="0" borderId="37" xfId="0" applyFont="1" applyBorder="1" applyAlignment="1">
      <alignment vertical="center"/>
    </xf>
    <xf numFmtId="1" fontId="22" fillId="0" borderId="0" xfId="0" applyNumberFormat="1" applyFont="1" applyAlignment="1">
      <alignment vertical="center"/>
    </xf>
    <xf numFmtId="0" fontId="2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2" fontId="25" fillId="0" borderId="0" xfId="0" applyNumberFormat="1" applyFont="1" applyAlignment="1">
      <alignment vertical="center"/>
    </xf>
    <xf numFmtId="0" fontId="22" fillId="0" borderId="38" xfId="0" applyFont="1" applyBorder="1" applyAlignment="1">
      <alignment vertical="center"/>
    </xf>
    <xf numFmtId="0" fontId="22" fillId="0" borderId="27" xfId="0" applyFont="1" applyBorder="1" applyAlignment="1">
      <alignment vertical="center"/>
    </xf>
    <xf numFmtId="0" fontId="19" fillId="35" borderId="33" xfId="0" applyFont="1" applyFill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21" fillId="35" borderId="0" xfId="0" applyFont="1" applyFill="1" applyBorder="1" applyAlignment="1">
      <alignment vertical="center"/>
    </xf>
    <xf numFmtId="0" fontId="4" fillId="38" borderId="0" xfId="0" applyFont="1" applyFill="1" applyAlignment="1">
      <alignment vertical="center"/>
    </xf>
    <xf numFmtId="0" fontId="22" fillId="0" borderId="39" xfId="0" applyFont="1" applyBorder="1" applyAlignment="1">
      <alignment vertical="center"/>
    </xf>
    <xf numFmtId="0" fontId="16" fillId="0" borderId="34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2" fillId="0" borderId="40" xfId="0" applyFont="1" applyBorder="1" applyAlignment="1">
      <alignment vertical="center"/>
    </xf>
    <xf numFmtId="0" fontId="36" fillId="34" borderId="41" xfId="0" applyFont="1" applyFill="1" applyBorder="1" applyAlignment="1">
      <alignment vertical="center"/>
    </xf>
    <xf numFmtId="0" fontId="16" fillId="0" borderId="41" xfId="0" applyFont="1" applyFill="1" applyBorder="1" applyAlignment="1">
      <alignment vertical="center"/>
    </xf>
    <xf numFmtId="0" fontId="22" fillId="0" borderId="41" xfId="0" applyFont="1" applyFill="1" applyBorder="1" applyAlignment="1">
      <alignment vertical="center"/>
    </xf>
    <xf numFmtId="0" fontId="42" fillId="34" borderId="41" xfId="0" applyFont="1" applyFill="1" applyBorder="1" applyAlignment="1">
      <alignment vertical="center"/>
    </xf>
    <xf numFmtId="0" fontId="20" fillId="0" borderId="15" xfId="0" applyFont="1" applyFill="1" applyBorder="1" applyAlignment="1">
      <alignment vertical="center"/>
    </xf>
    <xf numFmtId="0" fontId="22" fillId="0" borderId="42" xfId="0" applyFont="1" applyBorder="1" applyAlignment="1">
      <alignment vertical="center"/>
    </xf>
    <xf numFmtId="2" fontId="25" fillId="0" borderId="42" xfId="0" applyNumberFormat="1" applyFont="1" applyBorder="1" applyAlignment="1">
      <alignment vertical="center"/>
    </xf>
    <xf numFmtId="0" fontId="25" fillId="0" borderId="42" xfId="0" applyFont="1" applyBorder="1" applyAlignment="1">
      <alignment vertical="center"/>
    </xf>
    <xf numFmtId="0" fontId="20" fillId="34" borderId="0" xfId="0" applyFont="1" applyFill="1" applyBorder="1" applyAlignment="1">
      <alignment vertical="center"/>
    </xf>
    <xf numFmtId="0" fontId="25" fillId="0" borderId="43" xfId="0" applyFont="1" applyBorder="1" applyAlignment="1">
      <alignment horizontal="right" vertical="center"/>
    </xf>
    <xf numFmtId="0" fontId="26" fillId="0" borderId="43" xfId="0" applyFont="1" applyBorder="1" applyAlignment="1">
      <alignment vertical="center"/>
    </xf>
    <xf numFmtId="0" fontId="22" fillId="0" borderId="43" xfId="0" applyFont="1" applyBorder="1" applyAlignment="1">
      <alignment vertical="center"/>
    </xf>
    <xf numFmtId="0" fontId="20" fillId="0" borderId="41" xfId="0" applyFont="1" applyFill="1" applyBorder="1" applyAlignment="1">
      <alignment vertical="center"/>
    </xf>
    <xf numFmtId="0" fontId="35" fillId="0" borderId="41" xfId="0" applyFont="1" applyFill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26" fillId="0" borderId="35" xfId="0" applyFont="1" applyBorder="1" applyAlignment="1">
      <alignment vertical="center"/>
    </xf>
    <xf numFmtId="0" fontId="41" fillId="0" borderId="35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2" fillId="0" borderId="44" xfId="0" applyFont="1" applyBorder="1" applyAlignment="1">
      <alignment vertical="center"/>
    </xf>
    <xf numFmtId="0" fontId="22" fillId="0" borderId="45" xfId="0" applyFont="1" applyBorder="1" applyAlignment="1">
      <alignment vertical="center"/>
    </xf>
    <xf numFmtId="0" fontId="25" fillId="0" borderId="46" xfId="0" applyFont="1" applyBorder="1" applyAlignment="1">
      <alignment horizontal="left" vertical="center"/>
    </xf>
    <xf numFmtId="2" fontId="22" fillId="0" borderId="47" xfId="0" applyNumberFormat="1" applyFont="1" applyBorder="1" applyAlignment="1">
      <alignment vertical="center"/>
    </xf>
    <xf numFmtId="2" fontId="22" fillId="0" borderId="48" xfId="0" applyNumberFormat="1" applyFont="1" applyBorder="1" applyAlignment="1">
      <alignment vertical="center"/>
    </xf>
    <xf numFmtId="0" fontId="22" fillId="0" borderId="47" xfId="0" applyFont="1" applyBorder="1" applyAlignment="1">
      <alignment vertical="center"/>
    </xf>
    <xf numFmtId="0" fontId="22" fillId="0" borderId="35" xfId="0" applyFont="1" applyBorder="1" applyAlignment="1">
      <alignment horizontal="right" vertical="center"/>
    </xf>
    <xf numFmtId="0" fontId="25" fillId="0" borderId="39" xfId="0" applyFont="1" applyBorder="1" applyAlignment="1">
      <alignment vertical="center"/>
    </xf>
    <xf numFmtId="2" fontId="22" fillId="0" borderId="49" xfId="0" applyNumberFormat="1" applyFont="1" applyBorder="1" applyAlignment="1">
      <alignment vertical="center"/>
    </xf>
    <xf numFmtId="2" fontId="22" fillId="0" borderId="0" xfId="0" applyNumberFormat="1" applyFont="1" applyBorder="1" applyAlignment="1">
      <alignment vertical="center"/>
    </xf>
    <xf numFmtId="0" fontId="28" fillId="0" borderId="35" xfId="0" applyFont="1" applyBorder="1" applyAlignment="1">
      <alignment vertical="center"/>
    </xf>
    <xf numFmtId="0" fontId="38" fillId="37" borderId="50" xfId="0" applyFont="1" applyFill="1" applyBorder="1" applyAlignment="1">
      <alignment horizontal="right" vertical="center"/>
    </xf>
    <xf numFmtId="0" fontId="38" fillId="37" borderId="27" xfId="0" applyFont="1" applyFill="1" applyBorder="1" applyAlignment="1">
      <alignment horizontal="right" vertical="center"/>
    </xf>
    <xf numFmtId="0" fontId="38" fillId="0" borderId="0" xfId="0" applyFont="1" applyFill="1" applyBorder="1" applyAlignment="1">
      <alignment vertical="center"/>
    </xf>
    <xf numFmtId="0" fontId="22" fillId="0" borderId="27" xfId="0" applyFont="1" applyBorder="1" applyAlignment="1">
      <alignment horizontal="center"/>
    </xf>
    <xf numFmtId="0" fontId="16" fillId="34" borderId="0" xfId="0" applyFont="1" applyFill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22" fillId="0" borderId="52" xfId="0" applyFont="1" applyBorder="1" applyAlignment="1">
      <alignment horizontal="center" vertical="center"/>
    </xf>
    <xf numFmtId="0" fontId="3" fillId="0" borderId="44" xfId="0" applyFont="1" applyBorder="1" applyAlignment="1">
      <alignment vertical="center"/>
    </xf>
    <xf numFmtId="0" fontId="22" fillId="34" borderId="0" xfId="0" applyFont="1" applyFill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38" fillId="37" borderId="53" xfId="0" applyFont="1" applyFill="1" applyBorder="1" applyAlignment="1">
      <alignment horizontal="right" vertical="center"/>
    </xf>
    <xf numFmtId="0" fontId="38" fillId="37" borderId="46" xfId="0" applyFont="1" applyFill="1" applyBorder="1" applyAlignment="1">
      <alignment horizontal="right" vertical="center"/>
    </xf>
    <xf numFmtId="0" fontId="22" fillId="0" borderId="46" xfId="0" applyFont="1" applyBorder="1" applyAlignment="1">
      <alignment vertical="center"/>
    </xf>
    <xf numFmtId="0" fontId="22" fillId="0" borderId="49" xfId="0" applyFont="1" applyBorder="1" applyAlignment="1">
      <alignment vertical="center"/>
    </xf>
    <xf numFmtId="0" fontId="25" fillId="0" borderId="54" xfId="0" applyFont="1" applyBorder="1" applyAlignment="1">
      <alignment vertical="center"/>
    </xf>
    <xf numFmtId="0" fontId="25" fillId="0" borderId="55" xfId="0" applyFont="1" applyBorder="1" applyAlignment="1">
      <alignment vertical="center"/>
    </xf>
    <xf numFmtId="0" fontId="25" fillId="0" borderId="56" xfId="0" applyFont="1" applyBorder="1" applyAlignment="1">
      <alignment vertical="center"/>
    </xf>
    <xf numFmtId="0" fontId="25" fillId="0" borderId="47" xfId="0" applyFont="1" applyBorder="1" applyAlignment="1">
      <alignment vertical="center"/>
    </xf>
    <xf numFmtId="0" fontId="22" fillId="0" borderId="48" xfId="0" applyFont="1" applyBorder="1" applyAlignment="1">
      <alignment vertical="center"/>
    </xf>
    <xf numFmtId="0" fontId="25" fillId="0" borderId="57" xfId="0" applyFont="1" applyBorder="1" applyAlignment="1">
      <alignment vertical="center"/>
    </xf>
    <xf numFmtId="0" fontId="22" fillId="0" borderId="58" xfId="0" applyFont="1" applyBorder="1" applyAlignment="1">
      <alignment vertical="center"/>
    </xf>
    <xf numFmtId="0" fontId="25" fillId="0" borderId="59" xfId="0" applyFont="1" applyBorder="1" applyAlignment="1">
      <alignment vertical="center"/>
    </xf>
    <xf numFmtId="0" fontId="22" fillId="0" borderId="60" xfId="0" applyFont="1" applyBorder="1" applyAlignment="1">
      <alignment vertical="center"/>
    </xf>
    <xf numFmtId="0" fontId="22" fillId="0" borderId="61" xfId="0" applyFont="1" applyBorder="1" applyAlignment="1">
      <alignment vertical="center"/>
    </xf>
    <xf numFmtId="0" fontId="25" fillId="0" borderId="27" xfId="0" applyFont="1" applyBorder="1" applyAlignment="1">
      <alignment vertical="center"/>
    </xf>
    <xf numFmtId="186" fontId="3" fillId="0" borderId="35" xfId="0" applyNumberFormat="1" applyFont="1" applyBorder="1" applyAlignment="1">
      <alignment vertical="center"/>
    </xf>
    <xf numFmtId="186" fontId="3" fillId="0" borderId="39" xfId="0" applyNumberFormat="1" applyFont="1" applyBorder="1" applyAlignment="1">
      <alignment vertical="center"/>
    </xf>
    <xf numFmtId="0" fontId="8" fillId="39" borderId="0" xfId="0" applyFont="1" applyFill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0" fontId="2" fillId="0" borderId="63" xfId="0" applyFont="1" applyBorder="1" applyAlignment="1">
      <alignment vertical="center"/>
    </xf>
    <xf numFmtId="0" fontId="2" fillId="0" borderId="64" xfId="0" applyFont="1" applyBorder="1" applyAlignment="1">
      <alignment vertical="center"/>
    </xf>
    <xf numFmtId="0" fontId="47" fillId="37" borderId="0" xfId="0" applyFont="1" applyFill="1" applyBorder="1" applyAlignment="1">
      <alignment vertical="center"/>
    </xf>
    <xf numFmtId="0" fontId="48" fillId="37" borderId="65" xfId="0" applyFont="1" applyFill="1" applyBorder="1" applyAlignment="1">
      <alignment vertical="center"/>
    </xf>
    <xf numFmtId="0" fontId="20" fillId="34" borderId="66" xfId="0" applyFont="1" applyFill="1" applyBorder="1" applyAlignment="1">
      <alignment horizontal="right" vertical="center"/>
    </xf>
    <xf numFmtId="0" fontId="20" fillId="34" borderId="67" xfId="0" applyFont="1" applyFill="1" applyBorder="1" applyAlignment="1">
      <alignment vertical="center"/>
    </xf>
    <xf numFmtId="0" fontId="20" fillId="34" borderId="68" xfId="0" applyFont="1" applyFill="1" applyBorder="1" applyAlignment="1">
      <alignment vertical="center"/>
    </xf>
    <xf numFmtId="0" fontId="20" fillId="34" borderId="69" xfId="0" applyFont="1" applyFill="1" applyBorder="1" applyAlignment="1">
      <alignment vertical="center"/>
    </xf>
    <xf numFmtId="0" fontId="20" fillId="34" borderId="70" xfId="0" applyFont="1" applyFill="1" applyBorder="1" applyAlignment="1">
      <alignment vertical="center"/>
    </xf>
    <xf numFmtId="0" fontId="20" fillId="34" borderId="66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38" fillId="37" borderId="28" xfId="0" applyFont="1" applyFill="1" applyBorder="1" applyAlignment="1">
      <alignment vertical="center"/>
    </xf>
    <xf numFmtId="0" fontId="17" fillId="37" borderId="0" xfId="0" applyFont="1" applyFill="1" applyAlignment="1">
      <alignment vertical="center"/>
    </xf>
    <xf numFmtId="0" fontId="33" fillId="0" borderId="65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38" fillId="37" borderId="28" xfId="0" applyFont="1" applyFill="1" applyBorder="1" applyAlignment="1">
      <alignment horizontal="right" vertical="center"/>
    </xf>
    <xf numFmtId="0" fontId="38" fillId="37" borderId="71" xfId="0" applyFont="1" applyFill="1" applyBorder="1" applyAlignment="1">
      <alignment horizontal="right" vertical="center"/>
    </xf>
    <xf numFmtId="0" fontId="38" fillId="37" borderId="58" xfId="0" applyFont="1" applyFill="1" applyBorder="1" applyAlignment="1">
      <alignment horizontal="right" vertical="center"/>
    </xf>
    <xf numFmtId="0" fontId="38" fillId="37" borderId="72" xfId="0" applyFont="1" applyFill="1" applyBorder="1" applyAlignment="1">
      <alignment horizontal="right" vertical="center"/>
    </xf>
    <xf numFmtId="0" fontId="38" fillId="37" borderId="73" xfId="0" applyFont="1" applyFill="1" applyBorder="1" applyAlignment="1">
      <alignment horizontal="right" vertical="center"/>
    </xf>
    <xf numFmtId="0" fontId="38" fillId="37" borderId="74" xfId="0" applyFont="1" applyFill="1" applyBorder="1" applyAlignment="1">
      <alignment horizontal="right" vertical="center"/>
    </xf>
    <xf numFmtId="0" fontId="38" fillId="37" borderId="75" xfId="0" applyFont="1" applyFill="1" applyBorder="1" applyAlignment="1">
      <alignment horizontal="right" vertical="center"/>
    </xf>
    <xf numFmtId="0" fontId="38" fillId="37" borderId="76" xfId="0" applyFont="1" applyFill="1" applyBorder="1" applyAlignment="1">
      <alignment horizontal="right" vertical="center"/>
    </xf>
    <xf numFmtId="0" fontId="38" fillId="37" borderId="61" xfId="0" applyFont="1" applyFill="1" applyBorder="1" applyAlignment="1">
      <alignment horizontal="right" vertical="center"/>
    </xf>
    <xf numFmtId="0" fontId="38" fillId="37" borderId="77" xfId="0" applyFont="1" applyFill="1" applyBorder="1" applyAlignment="1">
      <alignment horizontal="right" vertical="center"/>
    </xf>
    <xf numFmtId="0" fontId="38" fillId="37" borderId="78" xfId="0" applyFont="1" applyFill="1" applyBorder="1" applyAlignment="1">
      <alignment horizontal="right" vertical="center"/>
    </xf>
    <xf numFmtId="0" fontId="38" fillId="37" borderId="70" xfId="0" applyFont="1" applyFill="1" applyBorder="1" applyAlignment="1">
      <alignment horizontal="right" vertical="center"/>
    </xf>
    <xf numFmtId="0" fontId="17" fillId="37" borderId="77" xfId="0" applyFont="1" applyFill="1" applyBorder="1" applyAlignment="1">
      <alignment vertical="center"/>
    </xf>
    <xf numFmtId="0" fontId="20" fillId="0" borderId="28" xfId="0" applyFont="1" applyFill="1" applyBorder="1" applyAlignment="1">
      <alignment vertical="center"/>
    </xf>
    <xf numFmtId="0" fontId="38" fillId="37" borderId="79" xfId="0" applyFont="1" applyFill="1" applyBorder="1" applyAlignment="1">
      <alignment horizontal="right" vertical="center"/>
    </xf>
    <xf numFmtId="0" fontId="38" fillId="37" borderId="80" xfId="0" applyFont="1" applyFill="1" applyBorder="1" applyAlignment="1">
      <alignment horizontal="right" vertical="center"/>
    </xf>
    <xf numFmtId="0" fontId="13" fillId="33" borderId="0" xfId="0" applyFont="1" applyFill="1" applyAlignment="1">
      <alignment vertical="center"/>
    </xf>
    <xf numFmtId="0" fontId="25" fillId="0" borderId="47" xfId="0" applyFont="1" applyBorder="1" applyAlignment="1">
      <alignment vertical="center"/>
    </xf>
    <xf numFmtId="0" fontId="16" fillId="34" borderId="12" xfId="0" applyFont="1" applyFill="1" applyBorder="1" applyAlignment="1">
      <alignment vertical="center"/>
    </xf>
    <xf numFmtId="0" fontId="20" fillId="34" borderId="40" xfId="0" applyFont="1" applyFill="1" applyBorder="1" applyAlignment="1">
      <alignment vertical="center"/>
    </xf>
    <xf numFmtId="0" fontId="16" fillId="34" borderId="41" xfId="0" applyFont="1" applyFill="1" applyBorder="1" applyAlignment="1">
      <alignment vertical="center"/>
    </xf>
    <xf numFmtId="0" fontId="25" fillId="0" borderId="37" xfId="0" applyFont="1" applyBorder="1" applyAlignment="1">
      <alignment vertical="center"/>
    </xf>
    <xf numFmtId="0" fontId="22" fillId="0" borderId="47" xfId="0" applyFont="1" applyBorder="1" applyAlignment="1">
      <alignment vertical="center"/>
    </xf>
    <xf numFmtId="186" fontId="3" fillId="0" borderId="76" xfId="0" applyNumberFormat="1" applyFont="1" applyBorder="1" applyAlignment="1">
      <alignment vertical="center"/>
    </xf>
    <xf numFmtId="186" fontId="3" fillId="0" borderId="27" xfId="0" applyNumberFormat="1" applyFont="1" applyBorder="1" applyAlignment="1">
      <alignment vertical="center"/>
    </xf>
    <xf numFmtId="0" fontId="22" fillId="0" borderId="81" xfId="0" applyFont="1" applyBorder="1" applyAlignment="1">
      <alignment vertical="center"/>
    </xf>
    <xf numFmtId="0" fontId="25" fillId="0" borderId="82" xfId="0" applyFont="1" applyBorder="1" applyAlignment="1">
      <alignment vertical="center"/>
    </xf>
    <xf numFmtId="0" fontId="22" fillId="0" borderId="82" xfId="0" applyFont="1" applyBorder="1" applyAlignment="1">
      <alignment vertical="center"/>
    </xf>
    <xf numFmtId="0" fontId="22" fillId="0" borderId="76" xfId="0" applyFont="1" applyBorder="1" applyAlignment="1">
      <alignment vertical="center"/>
    </xf>
    <xf numFmtId="0" fontId="22" fillId="0" borderId="83" xfId="0" applyFont="1" applyBorder="1" applyAlignment="1">
      <alignment vertical="center"/>
    </xf>
    <xf numFmtId="0" fontId="22" fillId="0" borderId="84" xfId="0" applyFont="1" applyBorder="1" applyAlignment="1">
      <alignment vertical="center"/>
    </xf>
    <xf numFmtId="180" fontId="22" fillId="0" borderId="0" xfId="0" applyNumberFormat="1" applyFont="1" applyBorder="1" applyAlignment="1">
      <alignment horizontal="center" vertical="center"/>
    </xf>
    <xf numFmtId="0" fontId="22" fillId="0" borderId="85" xfId="0" applyFont="1" applyBorder="1" applyAlignment="1">
      <alignment vertical="center"/>
    </xf>
    <xf numFmtId="0" fontId="22" fillId="0" borderId="86" xfId="0" applyFont="1" applyBorder="1" applyAlignment="1">
      <alignment vertical="center"/>
    </xf>
    <xf numFmtId="0" fontId="22" fillId="0" borderId="32" xfId="0" applyFont="1" applyBorder="1" applyAlignment="1">
      <alignment vertical="center"/>
    </xf>
    <xf numFmtId="0" fontId="22" fillId="0" borderId="87" xfId="0" applyFont="1" applyBorder="1" applyAlignment="1">
      <alignment vertical="center"/>
    </xf>
    <xf numFmtId="0" fontId="16" fillId="37" borderId="32" xfId="0" applyFont="1" applyFill="1" applyBorder="1" applyAlignment="1">
      <alignment horizontal="left" vertical="center"/>
    </xf>
    <xf numFmtId="0" fontId="16" fillId="37" borderId="0" xfId="0" applyFont="1" applyFill="1" applyBorder="1" applyAlignment="1">
      <alignment horizontal="left" vertical="center"/>
    </xf>
    <xf numFmtId="0" fontId="14" fillId="34" borderId="0" xfId="0" applyFont="1" applyFill="1" applyBorder="1" applyAlignment="1">
      <alignment horizontal="left" vertical="center"/>
    </xf>
    <xf numFmtId="0" fontId="16" fillId="34" borderId="0" xfId="0" applyFont="1" applyFill="1" applyBorder="1" applyAlignment="1">
      <alignment horizontal="left" vertical="center"/>
    </xf>
    <xf numFmtId="0" fontId="16" fillId="34" borderId="0" xfId="0" applyFont="1" applyFill="1" applyBorder="1" applyAlignment="1">
      <alignment vertical="center"/>
    </xf>
    <xf numFmtId="0" fontId="16" fillId="34" borderId="87" xfId="0" applyFont="1" applyFill="1" applyBorder="1" applyAlignment="1">
      <alignment vertical="center"/>
    </xf>
    <xf numFmtId="0" fontId="16" fillId="37" borderId="0" xfId="0" applyFont="1" applyFill="1" applyBorder="1" applyAlignment="1">
      <alignment vertical="center"/>
    </xf>
    <xf numFmtId="0" fontId="16" fillId="37" borderId="87" xfId="0" applyFont="1" applyFill="1" applyBorder="1" applyAlignment="1">
      <alignment vertical="center"/>
    </xf>
    <xf numFmtId="0" fontId="16" fillId="0" borderId="88" xfId="0" applyFont="1" applyFill="1" applyBorder="1" applyAlignment="1">
      <alignment vertical="center"/>
    </xf>
    <xf numFmtId="0" fontId="22" fillId="0" borderId="89" xfId="0" applyFont="1" applyBorder="1" applyAlignment="1">
      <alignment vertical="center"/>
    </xf>
    <xf numFmtId="0" fontId="22" fillId="0" borderId="88" xfId="0" applyFont="1" applyBorder="1" applyAlignment="1">
      <alignment vertical="center"/>
    </xf>
    <xf numFmtId="0" fontId="25" fillId="0" borderId="88" xfId="0" applyFont="1" applyBorder="1" applyAlignment="1">
      <alignment vertical="center"/>
    </xf>
    <xf numFmtId="0" fontId="22" fillId="0" borderId="90" xfId="0" applyFont="1" applyBorder="1" applyAlignment="1">
      <alignment vertical="center"/>
    </xf>
    <xf numFmtId="0" fontId="22" fillId="0" borderId="91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92" xfId="0" applyFont="1" applyBorder="1" applyAlignment="1">
      <alignment vertical="center"/>
    </xf>
    <xf numFmtId="0" fontId="51" fillId="37" borderId="46" xfId="0" applyFont="1" applyFill="1" applyBorder="1" applyAlignment="1">
      <alignment vertical="center"/>
    </xf>
    <xf numFmtId="0" fontId="33" fillId="37" borderId="93" xfId="0" applyFont="1" applyFill="1" applyBorder="1" applyAlignment="1">
      <alignment vertical="center"/>
    </xf>
    <xf numFmtId="0" fontId="33" fillId="37" borderId="47" xfId="0" applyFont="1" applyFill="1" applyBorder="1" applyAlignment="1">
      <alignment vertical="center"/>
    </xf>
    <xf numFmtId="0" fontId="38" fillId="0" borderId="46" xfId="0" applyFont="1" applyBorder="1" applyAlignment="1">
      <alignment vertical="center"/>
    </xf>
    <xf numFmtId="0" fontId="51" fillId="37" borderId="27" xfId="0" applyFont="1" applyFill="1" applyBorder="1" applyAlignment="1">
      <alignment vertical="center"/>
    </xf>
    <xf numFmtId="0" fontId="33" fillId="37" borderId="94" xfId="0" applyFont="1" applyFill="1" applyBorder="1" applyAlignment="1">
      <alignment vertical="center"/>
    </xf>
    <xf numFmtId="0" fontId="33" fillId="37" borderId="44" xfId="0" applyFont="1" applyFill="1" applyBorder="1" applyAlignment="1">
      <alignment vertical="center"/>
    </xf>
    <xf numFmtId="0" fontId="38" fillId="0" borderId="27" xfId="0" applyFont="1" applyBorder="1" applyAlignment="1">
      <alignment vertical="center"/>
    </xf>
    <xf numFmtId="0" fontId="17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22" fillId="0" borderId="46" xfId="0" applyFont="1" applyBorder="1" applyAlignment="1">
      <alignment horizontal="left" vertical="center"/>
    </xf>
    <xf numFmtId="0" fontId="22" fillId="0" borderId="36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5" fillId="0" borderId="52" xfId="0" applyFont="1" applyBorder="1" applyAlignment="1">
      <alignment horizontal="center" vertical="center"/>
    </xf>
    <xf numFmtId="0" fontId="4" fillId="40" borderId="0" xfId="0" applyFont="1" applyFill="1" applyAlignment="1">
      <alignment vertical="center"/>
    </xf>
    <xf numFmtId="0" fontId="13" fillId="40" borderId="0" xfId="0" applyFont="1" applyFill="1" applyAlignment="1">
      <alignment vertical="center"/>
    </xf>
    <xf numFmtId="0" fontId="7" fillId="40" borderId="0" xfId="0" applyFont="1" applyFill="1" applyAlignment="1">
      <alignment vertical="center"/>
    </xf>
    <xf numFmtId="0" fontId="10" fillId="37" borderId="0" xfId="0" applyFont="1" applyFill="1" applyAlignment="1">
      <alignment vertical="center"/>
    </xf>
    <xf numFmtId="171" fontId="10" fillId="0" borderId="0" xfId="42" applyFont="1" applyAlignment="1">
      <alignment vertical="center"/>
    </xf>
    <xf numFmtId="171" fontId="10" fillId="0" borderId="0" xfId="42" applyNumberFormat="1" applyFont="1" applyAlignment="1">
      <alignment vertical="center"/>
    </xf>
    <xf numFmtId="0" fontId="19" fillId="34" borderId="0" xfId="0" applyFont="1" applyFill="1" applyAlignment="1">
      <alignment vertical="center"/>
    </xf>
    <xf numFmtId="0" fontId="10" fillId="34" borderId="0" xfId="0" applyFont="1" applyFill="1" applyAlignment="1">
      <alignment vertical="center"/>
    </xf>
    <xf numFmtId="180" fontId="10" fillId="34" borderId="0" xfId="0" applyNumberFormat="1" applyFont="1" applyFill="1" applyAlignment="1">
      <alignment vertical="center"/>
    </xf>
    <xf numFmtId="180" fontId="53" fillId="34" borderId="0" xfId="0" applyNumberFormat="1" applyFont="1" applyFill="1" applyAlignment="1">
      <alignment vertical="center"/>
    </xf>
    <xf numFmtId="171" fontId="10" fillId="34" borderId="0" xfId="42" applyFont="1" applyFill="1" applyAlignment="1">
      <alignment vertical="center"/>
    </xf>
    <xf numFmtId="171" fontId="53" fillId="34" borderId="0" xfId="42" applyNumberFormat="1" applyFont="1" applyFill="1" applyAlignment="1">
      <alignment vertical="center"/>
    </xf>
    <xf numFmtId="180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horizontal="left" vertical="center" indent="1"/>
    </xf>
    <xf numFmtId="0" fontId="1" fillId="0" borderId="0" xfId="0" applyFont="1" applyAlignment="1">
      <alignment vertical="center"/>
    </xf>
    <xf numFmtId="0" fontId="10" fillId="0" borderId="27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37" borderId="0" xfId="0" applyFont="1" applyFill="1" applyAlignment="1">
      <alignment vertical="center"/>
    </xf>
    <xf numFmtId="0" fontId="11" fillId="0" borderId="0" xfId="0" applyFont="1" applyBorder="1" applyAlignment="1">
      <alignment vertical="center"/>
    </xf>
    <xf numFmtId="0" fontId="54" fillId="37" borderId="0" xfId="0" applyFont="1" applyFill="1" applyAlignment="1">
      <alignment vertical="center"/>
    </xf>
    <xf numFmtId="0" fontId="49" fillId="37" borderId="0" xfId="0" applyFont="1" applyFill="1" applyAlignment="1">
      <alignment vertical="center"/>
    </xf>
    <xf numFmtId="171" fontId="54" fillId="37" borderId="0" xfId="42" applyFont="1" applyFill="1" applyAlignment="1">
      <alignment vertical="center"/>
    </xf>
    <xf numFmtId="171" fontId="54" fillId="37" borderId="0" xfId="42" applyNumberFormat="1" applyFont="1" applyFill="1" applyAlignment="1">
      <alignment vertical="center"/>
    </xf>
    <xf numFmtId="0" fontId="10" fillId="0" borderId="73" xfId="0" applyFont="1" applyBorder="1" applyAlignment="1">
      <alignment vertical="center"/>
    </xf>
    <xf numFmtId="0" fontId="10" fillId="0" borderId="95" xfId="0" applyFont="1" applyBorder="1" applyAlignment="1">
      <alignment vertical="center"/>
    </xf>
    <xf numFmtId="0" fontId="10" fillId="0" borderId="95" xfId="0" applyFont="1" applyBorder="1" applyAlignment="1">
      <alignment horizontal="right" vertical="center"/>
    </xf>
    <xf numFmtId="0" fontId="54" fillId="34" borderId="96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1" fillId="41" borderId="73" xfId="0" applyFont="1" applyFill="1" applyBorder="1" applyAlignment="1">
      <alignment vertical="center"/>
    </xf>
    <xf numFmtId="0" fontId="54" fillId="41" borderId="96" xfId="0" applyFont="1" applyFill="1" applyBorder="1" applyAlignment="1">
      <alignment horizontal="center" vertical="center"/>
    </xf>
    <xf numFmtId="0" fontId="10" fillId="0" borderId="53" xfId="0" applyFont="1" applyBorder="1" applyAlignment="1">
      <alignment vertical="center"/>
    </xf>
    <xf numFmtId="0" fontId="10" fillId="0" borderId="75" xfId="0" applyFont="1" applyBorder="1" applyAlignment="1">
      <alignment vertical="center"/>
    </xf>
    <xf numFmtId="0" fontId="21" fillId="41" borderId="97" xfId="0" applyFont="1" applyFill="1" applyBorder="1" applyAlignment="1">
      <alignment horizontal="center" vertical="center"/>
    </xf>
    <xf numFmtId="0" fontId="10" fillId="0" borderId="93" xfId="0" applyFont="1" applyBorder="1" applyAlignment="1">
      <alignment vertical="center"/>
    </xf>
    <xf numFmtId="0" fontId="10" fillId="0" borderId="97" xfId="0" applyFont="1" applyBorder="1" applyAlignment="1">
      <alignment vertical="center"/>
    </xf>
    <xf numFmtId="0" fontId="54" fillId="34" borderId="68" xfId="0" applyFont="1" applyFill="1" applyBorder="1" applyAlignment="1">
      <alignment horizontal="center" vertical="center"/>
    </xf>
    <xf numFmtId="0" fontId="10" fillId="37" borderId="98" xfId="0" applyFont="1" applyFill="1" applyBorder="1" applyAlignment="1">
      <alignment vertical="center"/>
    </xf>
    <xf numFmtId="0" fontId="10" fillId="0" borderId="99" xfId="0" applyFont="1" applyBorder="1" applyAlignment="1">
      <alignment vertical="center"/>
    </xf>
    <xf numFmtId="0" fontId="10" fillId="37" borderId="79" xfId="0" applyFont="1" applyFill="1" applyBorder="1" applyAlignment="1">
      <alignment vertical="center"/>
    </xf>
    <xf numFmtId="0" fontId="10" fillId="0" borderId="67" xfId="0" applyFont="1" applyBorder="1" applyAlignment="1">
      <alignment vertical="center"/>
    </xf>
    <xf numFmtId="0" fontId="21" fillId="41" borderId="75" xfId="0" applyFont="1" applyFill="1" applyBorder="1" applyAlignment="1">
      <alignment vertical="center"/>
    </xf>
    <xf numFmtId="0" fontId="54" fillId="41" borderId="77" xfId="0" applyFont="1" applyFill="1" applyBorder="1" applyAlignment="1">
      <alignment horizontal="center" vertical="center"/>
    </xf>
    <xf numFmtId="0" fontId="54" fillId="34" borderId="100" xfId="0" applyFont="1" applyFill="1" applyBorder="1" applyAlignment="1">
      <alignment horizontal="center" vertical="center"/>
    </xf>
    <xf numFmtId="171" fontId="10" fillId="0" borderId="101" xfId="42" applyFont="1" applyBorder="1" applyAlignment="1">
      <alignment vertical="center"/>
    </xf>
    <xf numFmtId="171" fontId="10" fillId="0" borderId="102" xfId="42" applyFont="1" applyBorder="1" applyAlignment="1">
      <alignment vertical="center"/>
    </xf>
    <xf numFmtId="0" fontId="54" fillId="42" borderId="103" xfId="0" applyFont="1" applyFill="1" applyBorder="1" applyAlignment="1">
      <alignment horizontal="center" vertical="center"/>
    </xf>
    <xf numFmtId="0" fontId="10" fillId="0" borderId="104" xfId="0" applyFont="1" applyBorder="1" applyAlignment="1">
      <alignment vertical="center"/>
    </xf>
    <xf numFmtId="171" fontId="10" fillId="0" borderId="105" xfId="42" applyNumberFormat="1" applyFont="1" applyBorder="1" applyAlignment="1">
      <alignment vertical="center"/>
    </xf>
    <xf numFmtId="0" fontId="10" fillId="0" borderId="106" xfId="0" applyFont="1" applyBorder="1" applyAlignment="1">
      <alignment vertical="center"/>
    </xf>
    <xf numFmtId="171" fontId="10" fillId="0" borderId="107" xfId="42" applyNumberFormat="1" applyFont="1" applyBorder="1" applyAlignment="1">
      <alignment vertical="center"/>
    </xf>
    <xf numFmtId="0" fontId="54" fillId="34" borderId="73" xfId="0" applyFont="1" applyFill="1" applyBorder="1" applyAlignment="1">
      <alignment horizontal="center" vertical="center" wrapText="1"/>
    </xf>
    <xf numFmtId="0" fontId="54" fillId="34" borderId="67" xfId="0" applyFont="1" applyFill="1" applyBorder="1" applyAlignment="1">
      <alignment horizontal="center" vertical="center" wrapText="1"/>
    </xf>
    <xf numFmtId="0" fontId="54" fillId="41" borderId="73" xfId="0" applyFont="1" applyFill="1" applyBorder="1" applyAlignment="1">
      <alignment horizontal="center" vertical="center" wrapText="1"/>
    </xf>
    <xf numFmtId="0" fontId="54" fillId="41" borderId="7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71" fontId="10" fillId="0" borderId="0" xfId="42" applyNumberFormat="1" applyFont="1" applyFill="1" applyAlignment="1">
      <alignment vertical="center"/>
    </xf>
    <xf numFmtId="171" fontId="53" fillId="0" borderId="0" xfId="42" applyNumberFormat="1" applyFont="1" applyFill="1" applyAlignment="1">
      <alignment vertical="center"/>
    </xf>
    <xf numFmtId="171" fontId="21" fillId="0" borderId="0" xfId="42" applyNumberFormat="1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171" fontId="10" fillId="0" borderId="0" xfId="42" applyNumberFormat="1" applyFont="1" applyFill="1" applyBorder="1" applyAlignment="1">
      <alignment vertical="center"/>
    </xf>
    <xf numFmtId="171" fontId="54" fillId="0" borderId="0" xfId="42" applyNumberFormat="1" applyFont="1" applyFill="1" applyAlignment="1">
      <alignment vertical="center"/>
    </xf>
    <xf numFmtId="0" fontId="22" fillId="0" borderId="52" xfId="0" applyFont="1" applyBorder="1" applyAlignment="1">
      <alignment vertical="center"/>
    </xf>
    <xf numFmtId="171" fontId="25" fillId="0" borderId="39" xfId="42" applyNumberFormat="1" applyFont="1" applyBorder="1" applyAlignment="1">
      <alignment vertical="center" shrinkToFit="1"/>
    </xf>
    <xf numFmtId="171" fontId="22" fillId="0" borderId="36" xfId="42" applyFont="1" applyBorder="1" applyAlignment="1">
      <alignment vertical="center" shrinkToFit="1"/>
    </xf>
    <xf numFmtId="171" fontId="22" fillId="0" borderId="108" xfId="42" applyFont="1" applyBorder="1" applyAlignment="1">
      <alignment vertical="center" shrinkToFit="1"/>
    </xf>
    <xf numFmtId="171" fontId="22" fillId="0" borderId="60" xfId="42" applyFont="1" applyBorder="1" applyAlignment="1">
      <alignment vertical="center" shrinkToFit="1"/>
    </xf>
    <xf numFmtId="171" fontId="22" fillId="0" borderId="109" xfId="42" applyFont="1" applyBorder="1" applyAlignment="1">
      <alignment vertical="center" shrinkToFit="1"/>
    </xf>
    <xf numFmtId="0" fontId="25" fillId="0" borderId="14" xfId="0" applyFont="1" applyBorder="1" applyAlignment="1">
      <alignment horizontal="left" vertical="center"/>
    </xf>
    <xf numFmtId="0" fontId="25" fillId="0" borderId="35" xfId="0" applyFont="1" applyBorder="1" applyAlignment="1">
      <alignment horizontal="left" vertical="center"/>
    </xf>
    <xf numFmtId="171" fontId="22" fillId="0" borderId="49" xfId="42" applyFont="1" applyBorder="1" applyAlignment="1">
      <alignment horizontal="center" vertical="center"/>
    </xf>
    <xf numFmtId="192" fontId="25" fillId="0" borderId="0" xfId="42" applyNumberFormat="1" applyFont="1" applyBorder="1" applyAlignment="1">
      <alignment vertical="center" shrinkToFit="1"/>
    </xf>
    <xf numFmtId="192" fontId="25" fillId="0" borderId="27" xfId="42" applyNumberFormat="1" applyFont="1" applyBorder="1" applyAlignment="1">
      <alignment vertical="center" shrinkToFit="1"/>
    </xf>
    <xf numFmtId="0" fontId="14" fillId="39" borderId="0" xfId="0" applyFont="1" applyFill="1" applyBorder="1" applyAlignment="1">
      <alignment vertical="center"/>
    </xf>
    <xf numFmtId="0" fontId="43" fillId="37" borderId="46" xfId="0" applyFont="1" applyFill="1" applyBorder="1" applyAlignment="1">
      <alignment vertical="center"/>
    </xf>
    <xf numFmtId="0" fontId="43" fillId="37" borderId="61" xfId="0" applyFont="1" applyFill="1" applyBorder="1" applyAlignment="1">
      <alignment vertical="center"/>
    </xf>
    <xf numFmtId="0" fontId="20" fillId="35" borderId="68" xfId="0" applyFont="1" applyFill="1" applyBorder="1" applyAlignment="1">
      <alignment horizontal="right" vertical="center"/>
    </xf>
    <xf numFmtId="0" fontId="4" fillId="43" borderId="0" xfId="0" applyFont="1" applyFill="1" applyAlignment="1">
      <alignment vertical="center"/>
    </xf>
    <xf numFmtId="0" fontId="22" fillId="43" borderId="0" xfId="0" applyFont="1" applyFill="1" applyAlignment="1">
      <alignment vertical="center"/>
    </xf>
    <xf numFmtId="0" fontId="43" fillId="37" borderId="110" xfId="0" applyFont="1" applyFill="1" applyBorder="1" applyAlignment="1">
      <alignment horizontal="right" vertical="center"/>
    </xf>
    <xf numFmtId="0" fontId="43" fillId="37" borderId="71" xfId="0" applyFont="1" applyFill="1" applyBorder="1" applyAlignment="1">
      <alignment horizontal="right" vertical="center"/>
    </xf>
    <xf numFmtId="0" fontId="43" fillId="37" borderId="111" xfId="0" applyFont="1" applyFill="1" applyBorder="1" applyAlignment="1">
      <alignment horizontal="right" vertical="center"/>
    </xf>
    <xf numFmtId="0" fontId="43" fillId="37" borderId="104" xfId="0" applyFont="1" applyFill="1" applyBorder="1" applyAlignment="1">
      <alignment horizontal="right" vertical="center"/>
    </xf>
    <xf numFmtId="0" fontId="43" fillId="37" borderId="46" xfId="0" applyFont="1" applyFill="1" applyBorder="1" applyAlignment="1">
      <alignment horizontal="right" vertical="center"/>
    </xf>
    <xf numFmtId="0" fontId="43" fillId="37" borderId="93" xfId="0" applyFont="1" applyFill="1" applyBorder="1" applyAlignment="1">
      <alignment horizontal="right" vertical="center"/>
    </xf>
    <xf numFmtId="0" fontId="43" fillId="37" borderId="33" xfId="0" applyFont="1" applyFill="1" applyBorder="1" applyAlignment="1">
      <alignment horizontal="right" vertical="center"/>
    </xf>
    <xf numFmtId="0" fontId="43" fillId="37" borderId="61" xfId="0" applyFont="1" applyFill="1" applyBorder="1" applyAlignment="1">
      <alignment horizontal="right" vertical="center"/>
    </xf>
    <xf numFmtId="0" fontId="43" fillId="37" borderId="94" xfId="0" applyFont="1" applyFill="1" applyBorder="1" applyAlignment="1">
      <alignment horizontal="right" vertical="center"/>
    </xf>
    <xf numFmtId="0" fontId="46" fillId="37" borderId="85" xfId="0" applyFont="1" applyFill="1" applyBorder="1" applyAlignment="1">
      <alignment horizontal="center" vertical="center"/>
    </xf>
    <xf numFmtId="0" fontId="46" fillId="37" borderId="86" xfId="0" applyFont="1" applyFill="1" applyBorder="1" applyAlignment="1">
      <alignment horizontal="center" vertical="center"/>
    </xf>
    <xf numFmtId="0" fontId="46" fillId="37" borderId="32" xfId="0" applyFont="1" applyFill="1" applyBorder="1" applyAlignment="1">
      <alignment horizontal="center" vertical="center"/>
    </xf>
    <xf numFmtId="0" fontId="46" fillId="37" borderId="87" xfId="0" applyFont="1" applyFill="1" applyBorder="1" applyAlignment="1">
      <alignment horizontal="center" vertical="center"/>
    </xf>
    <xf numFmtId="0" fontId="46" fillId="37" borderId="64" xfId="0" applyFont="1" applyFill="1" applyBorder="1" applyAlignment="1">
      <alignment horizontal="center" vertical="center"/>
    </xf>
    <xf numFmtId="0" fontId="46" fillId="37" borderId="112" xfId="0" applyFont="1" applyFill="1" applyBorder="1" applyAlignment="1">
      <alignment horizontal="center" vertical="center"/>
    </xf>
    <xf numFmtId="0" fontId="43" fillId="37" borderId="85" xfId="0" applyFont="1" applyFill="1" applyBorder="1" applyAlignment="1">
      <alignment horizontal="center" vertical="center"/>
    </xf>
    <xf numFmtId="0" fontId="43" fillId="37" borderId="86" xfId="0" applyFont="1" applyFill="1" applyBorder="1" applyAlignment="1">
      <alignment horizontal="center" vertical="center"/>
    </xf>
    <xf numFmtId="0" fontId="43" fillId="37" borderId="32" xfId="0" applyFont="1" applyFill="1" applyBorder="1" applyAlignment="1">
      <alignment horizontal="center" vertical="center"/>
    </xf>
    <xf numFmtId="0" fontId="43" fillId="37" borderId="87" xfId="0" applyFont="1" applyFill="1" applyBorder="1" applyAlignment="1">
      <alignment horizontal="center" vertical="center"/>
    </xf>
    <xf numFmtId="0" fontId="43" fillId="37" borderId="64" xfId="0" applyFont="1" applyFill="1" applyBorder="1" applyAlignment="1">
      <alignment horizontal="center" vertical="center"/>
    </xf>
    <xf numFmtId="0" fontId="43" fillId="37" borderId="112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180" fontId="22" fillId="0" borderId="49" xfId="0" applyNumberFormat="1" applyFont="1" applyBorder="1" applyAlignment="1">
      <alignment horizontal="left" vertical="center"/>
    </xf>
    <xf numFmtId="180" fontId="22" fillId="0" borderId="46" xfId="0" applyNumberFormat="1" applyFont="1" applyBorder="1" applyAlignment="1">
      <alignment horizontal="left" vertical="center"/>
    </xf>
    <xf numFmtId="0" fontId="51" fillId="37" borderId="46" xfId="0" applyFont="1" applyFill="1" applyBorder="1" applyAlignment="1">
      <alignment horizontal="right" vertical="center"/>
    </xf>
    <xf numFmtId="0" fontId="51" fillId="37" borderId="61" xfId="0" applyFont="1" applyFill="1" applyBorder="1" applyAlignment="1">
      <alignment horizontal="right" vertical="center"/>
    </xf>
    <xf numFmtId="0" fontId="50" fillId="37" borderId="46" xfId="0" applyFont="1" applyFill="1" applyBorder="1" applyAlignment="1">
      <alignment horizontal="left" vertical="center" shrinkToFit="1"/>
    </xf>
    <xf numFmtId="0" fontId="50" fillId="37" borderId="93" xfId="0" applyFont="1" applyFill="1" applyBorder="1" applyAlignment="1">
      <alignment horizontal="left" vertical="center" shrinkToFit="1"/>
    </xf>
    <xf numFmtId="0" fontId="50" fillId="37" borderId="61" xfId="0" applyFont="1" applyFill="1" applyBorder="1" applyAlignment="1">
      <alignment horizontal="left" vertical="center" shrinkToFit="1"/>
    </xf>
    <xf numFmtId="0" fontId="50" fillId="37" borderId="94" xfId="0" applyFont="1" applyFill="1" applyBorder="1" applyAlignment="1">
      <alignment horizontal="left" vertical="center" shrinkToFit="1"/>
    </xf>
    <xf numFmtId="0" fontId="21" fillId="34" borderId="79" xfId="0" applyFont="1" applyFill="1" applyBorder="1" applyAlignment="1">
      <alignment horizontal="center" vertical="center"/>
    </xf>
    <xf numFmtId="0" fontId="21" fillId="34" borderId="73" xfId="0" applyFont="1" applyFill="1" applyBorder="1" applyAlignment="1">
      <alignment horizontal="center" vertical="center"/>
    </xf>
    <xf numFmtId="0" fontId="21" fillId="34" borderId="67" xfId="0" applyFont="1" applyFill="1" applyBorder="1" applyAlignment="1">
      <alignment horizontal="center" vertical="center"/>
    </xf>
    <xf numFmtId="0" fontId="21" fillId="34" borderId="113" xfId="0" applyFont="1" applyFill="1" applyBorder="1" applyAlignment="1">
      <alignment horizontal="center" vertical="center"/>
    </xf>
    <xf numFmtId="0" fontId="21" fillId="34" borderId="32" xfId="0" applyFont="1" applyFill="1" applyBorder="1" applyAlignment="1">
      <alignment horizontal="center" vertical="center"/>
    </xf>
    <xf numFmtId="0" fontId="21" fillId="34" borderId="64" xfId="0" applyFont="1" applyFill="1" applyBorder="1" applyAlignment="1">
      <alignment horizontal="center" vertical="center"/>
    </xf>
    <xf numFmtId="171" fontId="21" fillId="34" borderId="114" xfId="42" applyFont="1" applyFill="1" applyBorder="1" applyAlignment="1">
      <alignment horizontal="center" vertical="center"/>
    </xf>
    <xf numFmtId="171" fontId="21" fillId="34" borderId="101" xfId="42" applyFont="1" applyFill="1" applyBorder="1" applyAlignment="1">
      <alignment horizontal="center" vertical="center"/>
    </xf>
    <xf numFmtId="171" fontId="21" fillId="42" borderId="115" xfId="42" applyNumberFormat="1" applyFont="1" applyFill="1" applyBorder="1" applyAlignment="1">
      <alignment horizontal="center" vertical="center"/>
    </xf>
    <xf numFmtId="171" fontId="21" fillId="42" borderId="105" xfId="42" applyNumberFormat="1" applyFont="1" applyFill="1" applyBorder="1" applyAlignment="1">
      <alignment horizontal="center" vertical="center"/>
    </xf>
    <xf numFmtId="0" fontId="54" fillId="34" borderId="116" xfId="0" applyFont="1" applyFill="1" applyBorder="1" applyAlignment="1">
      <alignment horizontal="center" vertical="center" wrapText="1"/>
    </xf>
    <xf numFmtId="0" fontId="54" fillId="34" borderId="70" xfId="0" applyFont="1" applyFill="1" applyBorder="1" applyAlignment="1">
      <alignment horizontal="center" vertical="center" wrapText="1"/>
    </xf>
    <xf numFmtId="0" fontId="54" fillId="41" borderId="116" xfId="0" applyFont="1" applyFill="1" applyBorder="1" applyAlignment="1">
      <alignment horizontal="center" vertical="center" wrapText="1"/>
    </xf>
    <xf numFmtId="0" fontId="54" fillId="41" borderId="7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5975"/>
          <c:w val="0.65075"/>
          <c:h val="0.8815"/>
        </c:manualLayout>
      </c:layout>
      <c:barChart>
        <c:barDir val="col"/>
        <c:grouping val="clustered"/>
        <c:varyColors val="0"/>
        <c:ser>
          <c:idx val="1"/>
          <c:order val="0"/>
          <c:tx>
            <c:v>Lamp replacement cost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Input!#REF!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Input!#REF!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v>Energy Saving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Input!#REF!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Input!#REF!</c:f>
              <c:numCache>
                <c:ptCount val="1"/>
                <c:pt idx="0">
                  <c:v>1</c:v>
                </c:pt>
              </c:numCache>
            </c:numRef>
          </c:val>
        </c:ser>
        <c:axId val="4010053"/>
        <c:axId val="36090478"/>
      </c:barChart>
      <c:lineChart>
        <c:grouping val="standard"/>
        <c:varyColors val="0"/>
        <c:ser>
          <c:idx val="2"/>
          <c:order val="2"/>
          <c:tx>
            <c:v>Cumulative savings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Input!#REF!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Input!#REF!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6378847"/>
        <c:axId val="37647576"/>
      </c:lineChart>
      <c:catAx>
        <c:axId val="401005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090478"/>
        <c:crosses val="autoZero"/>
        <c:auto val="0"/>
        <c:lblOffset val="100"/>
        <c:tickLblSkip val="1"/>
        <c:noMultiLvlLbl val="0"/>
      </c:catAx>
      <c:valAx>
        <c:axId val="3609047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10053"/>
        <c:crossesAt val="1"/>
        <c:crossBetween val="between"/>
        <c:dispUnits/>
      </c:valAx>
      <c:catAx>
        <c:axId val="56378847"/>
        <c:scaling>
          <c:orientation val="minMax"/>
        </c:scaling>
        <c:axPos val="b"/>
        <c:delete val="1"/>
        <c:majorTickMark val="out"/>
        <c:minorTickMark val="none"/>
        <c:tickLblPos val="nextTo"/>
        <c:crossAx val="37647576"/>
        <c:crosses val="autoZero"/>
        <c:auto val="0"/>
        <c:lblOffset val="100"/>
        <c:tickLblSkip val="1"/>
        <c:noMultiLvlLbl val="0"/>
      </c:catAx>
      <c:valAx>
        <c:axId val="37647576"/>
        <c:scaling>
          <c:orientation val="minMax"/>
        </c:scaling>
        <c:axPos val="l"/>
        <c:delete val="1"/>
        <c:majorTickMark val="out"/>
        <c:minorTickMark val="none"/>
        <c:tickLblPos val="nextTo"/>
        <c:crossAx val="563788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275"/>
          <c:y val="0.2095"/>
          <c:w val="0.27925"/>
          <c:h val="0.3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hPercent val="75"/>
      <c:rotY val="30"/>
      <c:depthPercent val="100"/>
      <c:rAngAx val="1"/>
    </c:view3D>
    <c:plotArea>
      <c:layout>
        <c:manualLayout>
          <c:xMode val="edge"/>
          <c:yMode val="edge"/>
          <c:x val="0.01175"/>
          <c:y val="0.08775"/>
          <c:w val="0.981"/>
          <c:h val="0.74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'Cost Benefit Results'!$F$24</c:f>
              <c:strCache>
                <c:ptCount val="1"/>
                <c:pt idx="0">
                  <c:v>现有灯泡（管）</c:v>
                </c:pt>
              </c:strCache>
            </c:strRef>
          </c:tx>
          <c:spPr>
            <a:pattFill prst="dkDnDiag">
              <a:fgClr>
                <a:srgbClr val="FF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 * #,##0_ ;_ * \-#,##0_ ;_ * &quot;-&quot;??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 * #,##0_ ;_ * \-#,##0_ ;_ * &quot;-&quot;??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 * #,##0_ ;_ * \-#,##0_ ;_ * &quot;-&quot;??_ ;_ @_ 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'Cost Benefit Results'!$C$26:$C$28</c:f>
              <c:strCache/>
            </c:strRef>
          </c:cat>
          <c:val>
            <c:numRef>
              <c:f>'Cost Benefit Results'!$F$26:$F$28</c:f>
              <c:numCache/>
            </c:numRef>
          </c:val>
          <c:shape val="box"/>
        </c:ser>
        <c:ser>
          <c:idx val="1"/>
          <c:order val="1"/>
          <c:tx>
            <c:strRef>
              <c:f>'Cost Benefit Results'!$H$24</c:f>
              <c:strCache>
                <c:ptCount val="1"/>
                <c:pt idx="0">
                  <c:v>新灯泡（管）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6182A2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 * #,##0_ ;_ * \-#,##0_ ;_ * &quot;-&quot;??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 * #,##0_ ;_ * \-#,##0_ ;_ * &quot;-&quot;??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_ * #,##0_ ;_ * \-#,##0_ ;_ * &quot;-&quot;??_ ;_ @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 * #,##0_ ;_ * \-#,##0_ ;_ * &quot;-&quot;??_ ;_ @_ 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'Cost Benefit Results'!$C$26:$C$28</c:f>
              <c:strCache/>
            </c:strRef>
          </c:cat>
          <c:val>
            <c:numRef>
              <c:f>'Cost Benefit Results'!$H$26:$H$28</c:f>
              <c:numCache/>
            </c:numRef>
          </c:val>
          <c:shape val="box"/>
        </c:ser>
        <c:gapWidth val="100"/>
        <c:shape val="box"/>
        <c:axId val="3283865"/>
        <c:axId val="29554786"/>
      </c:bar3DChart>
      <c:catAx>
        <c:axId val="32838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554786"/>
        <c:crosses val="autoZero"/>
        <c:auto val="1"/>
        <c:lblOffset val="100"/>
        <c:tickLblSkip val="1"/>
        <c:noMultiLvlLbl val="0"/>
      </c:catAx>
      <c:valAx>
        <c:axId val="29554786"/>
        <c:scaling>
          <c:orientation val="minMax"/>
        </c:scaling>
        <c:axPos val="l"/>
        <c:title>
          <c:tx>
            <c:strRef>
              <c:f>'Cost Benefit Results'!$C$23</c:f>
            </c:strRef>
          </c:tx>
          <c:layout>
            <c:manualLayout>
              <c:xMode val="factor"/>
              <c:yMode val="factor"/>
              <c:x val="-0.015"/>
              <c:y val="-0.09825"/>
            </c:manualLayout>
          </c:layout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75" b="0" i="0" u="none" baseline="0">
                  <a:solidFill>
                    <a:srgbClr val="000000"/>
                  </a:solidFill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_ * #,##0_ ;_ * \-#,##0_ ;_ * &quot;-&quot;??_ ;_ @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838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3475"/>
          <c:y val="0.7855"/>
          <c:w val="0.56325"/>
          <c:h val="0.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Translation!$A$74</c:f>
        </c:strRef>
      </c:tx>
      <c:layout>
        <c:manualLayout>
          <c:xMode val="factor"/>
          <c:yMode val="factor"/>
          <c:x val="-0.0785"/>
          <c:y val="0.01025"/>
        </c:manualLayout>
      </c:layout>
      <c:spPr>
        <a:solidFill>
          <a:srgbClr val="FFFFFF"/>
        </a:solidFill>
        <a:ln w="254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35"/>
          <c:y val="0.095"/>
          <c:w val="0.93225"/>
          <c:h val="0.749"/>
        </c:manualLayout>
      </c:layout>
      <c:areaChart>
        <c:grouping val="stacked"/>
        <c:varyColors val="0"/>
        <c:ser>
          <c:idx val="3"/>
          <c:order val="3"/>
          <c:tx>
            <c:strRef>
              <c:f>'Cash Flow Data'!$L$19:$L$20</c:f>
              <c:strCache>
                <c:ptCount val="1"/>
                <c:pt idx="0">
                  <c:v>累积节约费用</c:v>
                </c:pt>
              </c:strCache>
            </c:strRef>
          </c:tx>
          <c:spPr>
            <a:gradFill rotWithShape="1">
              <a:gsLst>
                <a:gs pos="0">
                  <a:srgbClr val="00FF00"/>
                </a:gs>
                <a:gs pos="100000">
                  <a:srgbClr val="00FB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[0]!Month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[0]!CumulativeSavings</c:f>
              <c:numCache>
                <c:ptCount val="25"/>
                <c:pt idx="0">
                  <c:v>-132</c:v>
                </c:pt>
                <c:pt idx="1">
                  <c:v>-78.1</c:v>
                </c:pt>
                <c:pt idx="2">
                  <c:v>-24.199999999999996</c:v>
                </c:pt>
                <c:pt idx="3">
                  <c:v>29.700000000000003</c:v>
                </c:pt>
                <c:pt idx="4">
                  <c:v>83.6</c:v>
                </c:pt>
                <c:pt idx="5">
                  <c:v>137.5</c:v>
                </c:pt>
                <c:pt idx="6">
                  <c:v>191.4</c:v>
                </c:pt>
                <c:pt idx="7">
                  <c:v>245.3</c:v>
                </c:pt>
                <c:pt idx="8">
                  <c:v>299.2</c:v>
                </c:pt>
                <c:pt idx="9">
                  <c:v>353.09999999999997</c:v>
                </c:pt>
                <c:pt idx="10">
                  <c:v>447</c:v>
                </c:pt>
                <c:pt idx="11">
                  <c:v>500.9</c:v>
                </c:pt>
                <c:pt idx="12">
                  <c:v>554.8</c:v>
                </c:pt>
                <c:pt idx="13">
                  <c:v>608.6999999999999</c:v>
                </c:pt>
                <c:pt idx="14">
                  <c:v>662.5999999999999</c:v>
                </c:pt>
                <c:pt idx="15">
                  <c:v>716.4999999999999</c:v>
                </c:pt>
                <c:pt idx="16">
                  <c:v>770.3999999999999</c:v>
                </c:pt>
                <c:pt idx="17">
                  <c:v>824.2999999999998</c:v>
                </c:pt>
                <c:pt idx="18">
                  <c:v>878.1999999999998</c:v>
                </c:pt>
                <c:pt idx="19">
                  <c:v>972.0999999999998</c:v>
                </c:pt>
                <c:pt idx="20">
                  <c:v>1025.9999999999998</c:v>
                </c:pt>
                <c:pt idx="21">
                  <c:v>1079.8999999999999</c:v>
                </c:pt>
                <c:pt idx="22">
                  <c:v>1133.8</c:v>
                </c:pt>
                <c:pt idx="23">
                  <c:v>1187.7</c:v>
                </c:pt>
                <c:pt idx="24">
                  <c:v>1241.6000000000001</c:v>
                </c:pt>
              </c:numCache>
            </c:numRef>
          </c:val>
        </c:ser>
        <c:axId val="16336923"/>
        <c:axId val="12814580"/>
      </c:areaChart>
      <c:barChart>
        <c:barDir val="col"/>
        <c:grouping val="clustered"/>
        <c:varyColors val="0"/>
        <c:ser>
          <c:idx val="0"/>
          <c:order val="0"/>
          <c:tx>
            <c:strRef>
              <c:f>'Cash Flow Data'!$J$20</c:f>
              <c:strCache>
                <c:ptCount val="1"/>
                <c:pt idx="0">
                  <c:v>现有灯泡（管）费用支出总计</c:v>
                </c:pt>
              </c:strCache>
            </c:strRef>
          </c:tx>
          <c:spPr>
            <a:gradFill rotWithShape="1">
              <a:gsLst>
                <a:gs pos="0">
                  <a:srgbClr val="DBDB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[0]!Month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[0]!ExistingLampMonthlyTotalCosts</c:f>
              <c:numCache>
                <c:ptCount val="25"/>
                <c:pt idx="0">
                  <c:v>0</c:v>
                </c:pt>
                <c:pt idx="1">
                  <c:v>-66</c:v>
                </c:pt>
                <c:pt idx="2">
                  <c:v>-66</c:v>
                </c:pt>
                <c:pt idx="3">
                  <c:v>-66</c:v>
                </c:pt>
                <c:pt idx="4">
                  <c:v>-66</c:v>
                </c:pt>
                <c:pt idx="5">
                  <c:v>-66</c:v>
                </c:pt>
                <c:pt idx="6">
                  <c:v>-66</c:v>
                </c:pt>
                <c:pt idx="7">
                  <c:v>-66</c:v>
                </c:pt>
                <c:pt idx="8">
                  <c:v>-66</c:v>
                </c:pt>
                <c:pt idx="9">
                  <c:v>-66</c:v>
                </c:pt>
                <c:pt idx="10">
                  <c:v>-106</c:v>
                </c:pt>
                <c:pt idx="11">
                  <c:v>-66</c:v>
                </c:pt>
                <c:pt idx="12">
                  <c:v>-66</c:v>
                </c:pt>
                <c:pt idx="13">
                  <c:v>-66</c:v>
                </c:pt>
                <c:pt idx="14">
                  <c:v>-66</c:v>
                </c:pt>
                <c:pt idx="15">
                  <c:v>-66</c:v>
                </c:pt>
                <c:pt idx="16">
                  <c:v>-66</c:v>
                </c:pt>
                <c:pt idx="17">
                  <c:v>-66</c:v>
                </c:pt>
                <c:pt idx="18">
                  <c:v>-66</c:v>
                </c:pt>
                <c:pt idx="19">
                  <c:v>-106</c:v>
                </c:pt>
                <c:pt idx="20">
                  <c:v>-66</c:v>
                </c:pt>
                <c:pt idx="21">
                  <c:v>-66</c:v>
                </c:pt>
                <c:pt idx="22">
                  <c:v>-66</c:v>
                </c:pt>
                <c:pt idx="23">
                  <c:v>-66</c:v>
                </c:pt>
                <c:pt idx="24">
                  <c:v>-66</c:v>
                </c:pt>
              </c:numCache>
            </c:numRef>
          </c:val>
        </c:ser>
        <c:ser>
          <c:idx val="1"/>
          <c:order val="1"/>
          <c:tx>
            <c:strRef>
              <c:f>'Cash Flow Data'!$F$20</c:f>
              <c:strCache>
                <c:ptCount val="1"/>
                <c:pt idx="0">
                  <c:v>新灯泡（管）费用支出总计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FF00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[0]!Month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[0]!NewLampMonthlyTotalCosts</c:f>
              <c:numCache>
                <c:ptCount val="25"/>
                <c:pt idx="0">
                  <c:v>-132</c:v>
                </c:pt>
                <c:pt idx="1">
                  <c:v>-12.100000000000001</c:v>
                </c:pt>
                <c:pt idx="2">
                  <c:v>-12.100000000000001</c:v>
                </c:pt>
                <c:pt idx="3">
                  <c:v>-12.100000000000001</c:v>
                </c:pt>
                <c:pt idx="4">
                  <c:v>-12.100000000000001</c:v>
                </c:pt>
                <c:pt idx="5">
                  <c:v>-12.100000000000001</c:v>
                </c:pt>
                <c:pt idx="6">
                  <c:v>-12.100000000000001</c:v>
                </c:pt>
                <c:pt idx="7">
                  <c:v>-12.100000000000001</c:v>
                </c:pt>
                <c:pt idx="8">
                  <c:v>-12.100000000000001</c:v>
                </c:pt>
                <c:pt idx="9">
                  <c:v>-12.100000000000001</c:v>
                </c:pt>
                <c:pt idx="10">
                  <c:v>-12.100000000000001</c:v>
                </c:pt>
                <c:pt idx="11">
                  <c:v>-12.100000000000001</c:v>
                </c:pt>
                <c:pt idx="12">
                  <c:v>-12.100000000000001</c:v>
                </c:pt>
                <c:pt idx="13">
                  <c:v>-12.100000000000001</c:v>
                </c:pt>
                <c:pt idx="14">
                  <c:v>-12.100000000000001</c:v>
                </c:pt>
                <c:pt idx="15">
                  <c:v>-12.100000000000001</c:v>
                </c:pt>
                <c:pt idx="16">
                  <c:v>-12.100000000000001</c:v>
                </c:pt>
                <c:pt idx="17">
                  <c:v>-12.100000000000001</c:v>
                </c:pt>
                <c:pt idx="18">
                  <c:v>-12.100000000000001</c:v>
                </c:pt>
                <c:pt idx="19">
                  <c:v>-12.100000000000001</c:v>
                </c:pt>
                <c:pt idx="20">
                  <c:v>-12.100000000000001</c:v>
                </c:pt>
                <c:pt idx="21">
                  <c:v>-12.100000000000001</c:v>
                </c:pt>
                <c:pt idx="22">
                  <c:v>-12.100000000000001</c:v>
                </c:pt>
                <c:pt idx="23">
                  <c:v>-12.100000000000001</c:v>
                </c:pt>
                <c:pt idx="24">
                  <c:v>-12.100000000000001</c:v>
                </c:pt>
              </c:numCache>
            </c:numRef>
          </c:val>
        </c:ser>
        <c:ser>
          <c:idx val="2"/>
          <c:order val="2"/>
          <c:tx>
            <c:strRef>
              <c:f>'Cash Flow Data'!$K$19:$K$20</c:f>
              <c:strCache>
                <c:ptCount val="1"/>
                <c:pt idx="0">
                  <c:v>每月节约费用</c:v>
                </c:pt>
              </c:strCache>
            </c:strRef>
          </c:tx>
          <c:spPr>
            <a:gradFill rotWithShape="1">
              <a:gsLst>
                <a:gs pos="0">
                  <a:srgbClr val="2D962D"/>
                </a:gs>
                <a:gs pos="100000">
                  <a:srgbClr val="008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[0]!Month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[0]!MonthlySavings</c:f>
              <c:numCache>
                <c:ptCount val="25"/>
                <c:pt idx="0">
                  <c:v>-132</c:v>
                </c:pt>
                <c:pt idx="1">
                  <c:v>53.9</c:v>
                </c:pt>
                <c:pt idx="2">
                  <c:v>53.9</c:v>
                </c:pt>
                <c:pt idx="3">
                  <c:v>53.9</c:v>
                </c:pt>
                <c:pt idx="4">
                  <c:v>53.9</c:v>
                </c:pt>
                <c:pt idx="5">
                  <c:v>53.9</c:v>
                </c:pt>
                <c:pt idx="6">
                  <c:v>53.9</c:v>
                </c:pt>
                <c:pt idx="7">
                  <c:v>53.9</c:v>
                </c:pt>
                <c:pt idx="8">
                  <c:v>53.9</c:v>
                </c:pt>
                <c:pt idx="9">
                  <c:v>53.9</c:v>
                </c:pt>
                <c:pt idx="10">
                  <c:v>93.9</c:v>
                </c:pt>
                <c:pt idx="11">
                  <c:v>53.9</c:v>
                </c:pt>
                <c:pt idx="12">
                  <c:v>53.9</c:v>
                </c:pt>
                <c:pt idx="13">
                  <c:v>53.9</c:v>
                </c:pt>
                <c:pt idx="14">
                  <c:v>53.9</c:v>
                </c:pt>
                <c:pt idx="15">
                  <c:v>53.9</c:v>
                </c:pt>
                <c:pt idx="16">
                  <c:v>53.9</c:v>
                </c:pt>
                <c:pt idx="17">
                  <c:v>53.9</c:v>
                </c:pt>
                <c:pt idx="18">
                  <c:v>53.9</c:v>
                </c:pt>
                <c:pt idx="19">
                  <c:v>93.9</c:v>
                </c:pt>
                <c:pt idx="20">
                  <c:v>53.9</c:v>
                </c:pt>
                <c:pt idx="21">
                  <c:v>53.9</c:v>
                </c:pt>
                <c:pt idx="22">
                  <c:v>53.9</c:v>
                </c:pt>
                <c:pt idx="23">
                  <c:v>53.9</c:v>
                </c:pt>
                <c:pt idx="24">
                  <c:v>53.9</c:v>
                </c:pt>
              </c:numCache>
            </c:numRef>
          </c:val>
        </c:ser>
        <c:gapWidth val="50"/>
        <c:axId val="14925951"/>
        <c:axId val="115832"/>
      </c:barChart>
      <c:catAx>
        <c:axId val="14925951"/>
        <c:scaling>
          <c:orientation val="minMax"/>
        </c:scaling>
        <c:axPos val="b"/>
        <c:title>
          <c:tx>
            <c:strRef>
              <c:f>Translation!$A$76</c:f>
            </c:strRef>
          </c:tx>
          <c:layout>
            <c:manualLayout>
              <c:xMode val="factor"/>
              <c:yMode val="factor"/>
              <c:x val="0.00575"/>
              <c:y val="-0.0035"/>
            </c:manualLayout>
          </c:layout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</a:defRPr>
              </a:pPr>
            </a:p>
          </c:tx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15832"/>
        <c:crosses val="autoZero"/>
        <c:auto val="0"/>
        <c:lblOffset val="0"/>
        <c:tickLblSkip val="1"/>
        <c:noMultiLvlLbl val="0"/>
      </c:catAx>
      <c:valAx>
        <c:axId val="115832"/>
        <c:scaling>
          <c:orientation val="minMax"/>
        </c:scaling>
        <c:axPos val="l"/>
        <c:title>
          <c:tx>
            <c:strRef>
              <c:f>Input!$E$33</c:f>
            </c:strRef>
          </c:tx>
          <c:layout>
            <c:manualLayout>
              <c:xMode val="factor"/>
              <c:yMode val="factor"/>
              <c:x val="-0.00025"/>
              <c:y val="-0.00175"/>
            </c:manualLayout>
          </c:layout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4925951"/>
        <c:crossesAt val="1"/>
        <c:crossBetween val="between"/>
        <c:dispUnits/>
      </c:valAx>
      <c:catAx>
        <c:axId val="16336923"/>
        <c:scaling>
          <c:orientation val="minMax"/>
        </c:scaling>
        <c:axPos val="b"/>
        <c:delete val="1"/>
        <c:majorTickMark val="out"/>
        <c:minorTickMark val="none"/>
        <c:tickLblPos val="nextTo"/>
        <c:crossAx val="12814580"/>
        <c:crosses val="autoZero"/>
        <c:auto val="0"/>
        <c:lblOffset val="100"/>
        <c:tickLblSkip val="1"/>
        <c:noMultiLvlLbl val="0"/>
      </c:catAx>
      <c:valAx>
        <c:axId val="128145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6336923"/>
        <c:crosses val="max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95"/>
          <c:y val="0.83725"/>
          <c:w val="0.214"/>
          <c:h val="0.1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0"/>
  <sheetViews>
    <sheetView workbookViewId="0" zoomScale="101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wmf" /><Relationship Id="rId4" Type="http://schemas.openxmlformats.org/officeDocument/2006/relationships/image" Target="../media/image5.emf" /><Relationship Id="rId5" Type="http://schemas.openxmlformats.org/officeDocument/2006/relationships/chart" Target="/xl/charts/chart1.xml" /><Relationship Id="rId6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Relationship Id="rId3" Type="http://schemas.openxmlformats.org/officeDocument/2006/relationships/image" Target="../media/image6.jpeg" /><Relationship Id="rId4" Type="http://schemas.openxmlformats.org/officeDocument/2006/relationships/image" Target="../media/image4.wmf" /><Relationship Id="rId5" Type="http://schemas.openxmlformats.org/officeDocument/2006/relationships/image" Target="../media/image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6.jpeg" /><Relationship Id="rId3" Type="http://schemas.openxmlformats.org/officeDocument/2006/relationships/image" Target="../media/image4.wmf" /><Relationship Id="rId4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76200</xdr:rowOff>
    </xdr:from>
    <xdr:to>
      <xdr:col>9</xdr:col>
      <xdr:colOff>1114425</xdr:colOff>
      <xdr:row>2</xdr:row>
      <xdr:rowOff>152400</xdr:rowOff>
    </xdr:to>
    <xdr:grpSp>
      <xdr:nvGrpSpPr>
        <xdr:cNvPr id="1" name="Group 17"/>
        <xdr:cNvGrpSpPr>
          <a:grpSpLocks/>
        </xdr:cNvGrpSpPr>
      </xdr:nvGrpSpPr>
      <xdr:grpSpPr>
        <a:xfrm>
          <a:off x="304800" y="171450"/>
          <a:ext cx="9639300" cy="962025"/>
          <a:chOff x="0" y="3"/>
          <a:chExt cx="1114" cy="114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rcRect b="2847"/>
          <a:stretch>
            <a:fillRect/>
          </a:stretch>
        </xdr:blipFill>
        <xdr:spPr>
          <a:xfrm>
            <a:off x="0" y="3"/>
            <a:ext cx="1114" cy="11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2" descr="USAID_ASIA_Color_For_Print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CFCFC"/>
              </a:clrFrom>
              <a:clrTo>
                <a:srgbClr val="FCFCFC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22" y="12"/>
            <a:ext cx="497" cy="8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3" descr="ICF_rgb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003" y="20"/>
            <a:ext cx="100" cy="7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796" y="22"/>
            <a:ext cx="190" cy="6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13</xdr:col>
      <xdr:colOff>180975</xdr:colOff>
      <xdr:row>39</xdr:row>
      <xdr:rowOff>0</xdr:rowOff>
    </xdr:from>
    <xdr:to>
      <xdr:col>21</xdr:col>
      <xdr:colOff>542925</xdr:colOff>
      <xdr:row>49</xdr:row>
      <xdr:rowOff>152400</xdr:rowOff>
    </xdr:to>
    <xdr:graphicFrame>
      <xdr:nvGraphicFramePr>
        <xdr:cNvPr id="6" name="Chart 5"/>
        <xdr:cNvGraphicFramePr/>
      </xdr:nvGraphicFramePr>
      <xdr:xfrm>
        <a:off x="12382500" y="9896475"/>
        <a:ext cx="5848350" cy="1676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2</xdr:col>
      <xdr:colOff>47625</xdr:colOff>
      <xdr:row>26</xdr:row>
      <xdr:rowOff>38100</xdr:rowOff>
    </xdr:from>
    <xdr:to>
      <xdr:col>5</xdr:col>
      <xdr:colOff>742950</xdr:colOff>
      <xdr:row>27</xdr:row>
      <xdr:rowOff>114300</xdr:rowOff>
    </xdr:to>
    <xdr:pic>
      <xdr:nvPicPr>
        <xdr:cNvPr id="7" name="CheckBox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0075" y="5867400"/>
          <a:ext cx="5181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0.5015</cdr:x>
      <cdr:y>0.5005</cdr:y>
    </cdr:from>
    <cdr:to>
      <cdr:x>0.5205</cdr:x>
      <cdr:y>0.551</cdr:y>
    </cdr:to>
    <cdr:sp>
      <cdr:nvSpPr>
        <cdr:cNvPr id="1" name="Text Box 1"/>
        <cdr:cNvSpPr txBox="1">
          <a:spLocks noChangeArrowheads="1"/>
        </cdr:cNvSpPr>
      </cdr:nvSpPr>
      <cdr:spPr>
        <a:xfrm>
          <a:off x="2266950" y="1885950"/>
          <a:ext cx="857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75" b="0" i="0" u="none" baseline="0">
              <a:solidFill>
                <a:srgbClr val="000000"/>
              </a:solidFill>
            </a:rPr>
            <a:t>·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314325</xdr:colOff>
      <xdr:row>19</xdr:row>
      <xdr:rowOff>47625</xdr:rowOff>
    </xdr:from>
    <xdr:to>
      <xdr:col>18</xdr:col>
      <xdr:colOff>161925</xdr:colOff>
      <xdr:row>38</xdr:row>
      <xdr:rowOff>114300</xdr:rowOff>
    </xdr:to>
    <xdr:graphicFrame>
      <xdr:nvGraphicFramePr>
        <xdr:cNvPr id="1" name="Chart 7"/>
        <xdr:cNvGraphicFramePr/>
      </xdr:nvGraphicFramePr>
      <xdr:xfrm>
        <a:off x="6019800" y="3743325"/>
        <a:ext cx="45339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20</xdr:col>
      <xdr:colOff>0</xdr:colOff>
      <xdr:row>6</xdr:row>
      <xdr:rowOff>85725</xdr:rowOff>
    </xdr:to>
    <xdr:grpSp>
      <xdr:nvGrpSpPr>
        <xdr:cNvPr id="2" name="Group 1"/>
        <xdr:cNvGrpSpPr>
          <a:grpSpLocks/>
        </xdr:cNvGrpSpPr>
      </xdr:nvGrpSpPr>
      <xdr:grpSpPr>
        <a:xfrm>
          <a:off x="0" y="0"/>
          <a:ext cx="11563350" cy="1171575"/>
          <a:chOff x="0" y="3"/>
          <a:chExt cx="1114" cy="114"/>
        </a:xfrm>
        <a:solidFill>
          <a:srgbClr val="FFFFFF"/>
        </a:solidFill>
      </xdr:grpSpPr>
      <xdr:pic>
        <xdr:nvPicPr>
          <xdr:cNvPr id="3" name="Picture 2"/>
          <xdr:cNvPicPr preferRelativeResize="1">
            <a:picLocks noChangeAspect="1"/>
          </xdr:cNvPicPr>
        </xdr:nvPicPr>
        <xdr:blipFill>
          <a:blip r:embed="rId2"/>
          <a:srcRect b="2847"/>
          <a:stretch>
            <a:fillRect/>
          </a:stretch>
        </xdr:blipFill>
        <xdr:spPr>
          <a:xfrm>
            <a:off x="0" y="3"/>
            <a:ext cx="1114" cy="11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3" descr="USAID_ASIA_Color_For_Print"/>
          <xdr:cNvPicPr preferRelativeResize="1">
            <a:picLocks noChangeAspect="1"/>
          </xdr:cNvPicPr>
        </xdr:nvPicPr>
        <xdr:blipFill>
          <a:blip r:embed="rId3">
            <a:clrChange>
              <a:clrFrom>
                <a:srgbClr val="FCFCFC"/>
              </a:clrFrom>
              <a:clrTo>
                <a:srgbClr val="FCFCFC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22" y="12"/>
            <a:ext cx="497" cy="8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4" descr="ICF_rgb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003" y="20"/>
            <a:ext cx="100" cy="7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5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96" y="22"/>
            <a:ext cx="188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11</xdr:col>
      <xdr:colOff>1104900</xdr:colOff>
      <xdr:row>1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28575" y="0"/>
          <a:ext cx="10887075" cy="1171575"/>
          <a:chOff x="0" y="3"/>
          <a:chExt cx="1114" cy="114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rcRect b="2847"/>
          <a:stretch>
            <a:fillRect/>
          </a:stretch>
        </xdr:blipFill>
        <xdr:spPr>
          <a:xfrm>
            <a:off x="0" y="3"/>
            <a:ext cx="1114" cy="11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USAID_ASIA_Color_For_Print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CFCFC"/>
              </a:clrFrom>
              <a:clrTo>
                <a:srgbClr val="FCFCFC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22" y="12"/>
            <a:ext cx="497" cy="8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4" descr="ICF_rgb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003" y="20"/>
            <a:ext cx="100" cy="7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796" y="22"/>
            <a:ext cx="190" cy="6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0.48675</cdr:y>
    </cdr:from>
    <cdr:to>
      <cdr:x>0.491</cdr:x>
      <cdr:y>0.52025</cdr:y>
    </cdr:to>
    <cdr:sp>
      <cdr:nvSpPr>
        <cdr:cNvPr id="1" name="Text Box 4"/>
        <cdr:cNvSpPr txBox="1">
          <a:spLocks noChangeArrowheads="1"/>
        </cdr:cNvSpPr>
      </cdr:nvSpPr>
      <cdr:spPr>
        <a:xfrm>
          <a:off x="4438650" y="2781300"/>
          <a:ext cx="1333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·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3810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247650</xdr:colOff>
      <xdr:row>6</xdr:row>
      <xdr:rowOff>28575</xdr:rowOff>
    </xdr:from>
    <xdr:to>
      <xdr:col>8</xdr:col>
      <xdr:colOff>628650</xdr:colOff>
      <xdr:row>12</xdr:row>
      <xdr:rowOff>57150</xdr:rowOff>
    </xdr:to>
    <xdr:sp macro="[0]!按钮652_单击" textlink="$A$58">
      <xdr:nvSpPr>
        <xdr:cNvPr id="1" name="矩形 2"/>
        <xdr:cNvSpPr>
          <a:spLocks/>
        </xdr:cNvSpPr>
      </xdr:nvSpPr>
      <xdr:spPr>
        <a:xfrm>
          <a:off x="3371850" y="876300"/>
          <a:ext cx="1752600" cy="1000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宋体"/>
              <a:ea typeface="宋体"/>
              <a:cs typeface="宋体"/>
            </a:rPr>
            <a:t>返回输入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P55"/>
  <sheetViews>
    <sheetView showGridLines="0" showRowColHeaders="0" tabSelected="1" zoomScale="110" zoomScaleNormal="110" zoomScalePageLayoutView="0" workbookViewId="0" topLeftCell="A1">
      <selection activeCell="A1" sqref="A1"/>
    </sheetView>
  </sheetViews>
  <sheetFormatPr defaultColWidth="9.00390625" defaultRowHeight="14.25"/>
  <cols>
    <col min="1" max="2" width="3.625" style="1" customWidth="1"/>
    <col min="3" max="3" width="4.75390625" style="4" customWidth="1"/>
    <col min="4" max="4" width="13.625" style="4" customWidth="1"/>
    <col min="5" max="5" width="40.50390625" style="4" customWidth="1"/>
    <col min="6" max="6" width="10.75390625" style="4" customWidth="1"/>
    <col min="7" max="7" width="18.25390625" style="4" customWidth="1"/>
    <col min="8" max="8" width="9.50390625" style="4" customWidth="1"/>
    <col min="9" max="9" width="11.25390625" style="4" customWidth="1"/>
    <col min="10" max="10" width="15.00390625" style="4" customWidth="1"/>
    <col min="11" max="11" width="11.25390625" style="4" customWidth="1"/>
    <col min="12" max="16" width="9.00390625" style="4" customWidth="1"/>
    <col min="17" max="16384" width="9.00390625" style="1" customWidth="1"/>
  </cols>
  <sheetData>
    <row r="1" spans="3:16" ht="7.5" customHeight="1" thickBot="1">
      <c r="C1" s="10"/>
      <c r="D1" s="10"/>
      <c r="E1" s="10"/>
      <c r="F1" s="10"/>
      <c r="G1" s="10"/>
      <c r="H1" s="10"/>
      <c r="I1" s="10"/>
      <c r="J1" s="10"/>
      <c r="K1" s="3"/>
      <c r="O1" s="10"/>
      <c r="P1" s="10"/>
    </row>
    <row r="2" spans="2:16" ht="69.75" customHeight="1" thickBot="1">
      <c r="B2" s="18"/>
      <c r="C2" s="19"/>
      <c r="D2" s="19"/>
      <c r="E2" s="19"/>
      <c r="F2" s="19"/>
      <c r="G2" s="19"/>
      <c r="H2" s="19"/>
      <c r="I2" s="19"/>
      <c r="J2" s="20"/>
      <c r="K2" s="3"/>
      <c r="O2" s="1"/>
      <c r="P2" s="1"/>
    </row>
    <row r="3" spans="2:16" ht="15.75" thickBot="1">
      <c r="B3" s="21"/>
      <c r="C3" s="36"/>
      <c r="D3" s="36"/>
      <c r="E3" s="36"/>
      <c r="F3" s="36"/>
      <c r="G3" s="36"/>
      <c r="H3" s="22"/>
      <c r="I3" s="22"/>
      <c r="J3" s="23"/>
      <c r="K3" s="3"/>
      <c r="O3" s="1"/>
      <c r="P3" s="1"/>
    </row>
    <row r="4" spans="2:16" ht="15.75" thickBot="1">
      <c r="B4" s="28"/>
      <c r="C4" s="10"/>
      <c r="D4" s="10"/>
      <c r="E4" s="10"/>
      <c r="F4" s="10"/>
      <c r="G4" s="10"/>
      <c r="H4" s="29"/>
      <c r="I4" s="22"/>
      <c r="J4" s="23"/>
      <c r="K4" s="15"/>
      <c r="O4" s="1"/>
      <c r="P4" s="1"/>
    </row>
    <row r="5" spans="2:16" ht="21" thickBot="1">
      <c r="B5" s="28"/>
      <c r="C5" s="168" t="str">
        <f>Translation!$A6</f>
        <v>照明节能改造全寿命成本收益分析</v>
      </c>
      <c r="D5" s="10"/>
      <c r="E5" s="10"/>
      <c r="F5" s="10"/>
      <c r="G5" s="10"/>
      <c r="H5" s="29"/>
      <c r="I5" s="22"/>
      <c r="J5" s="23"/>
      <c r="K5" s="15"/>
      <c r="O5" s="1"/>
      <c r="P5" s="1"/>
    </row>
    <row r="6" spans="2:16" ht="12" customHeight="1" thickBot="1">
      <c r="B6" s="28"/>
      <c r="C6" s="169"/>
      <c r="D6" s="10"/>
      <c r="E6" s="10"/>
      <c r="F6" s="10"/>
      <c r="G6" s="10"/>
      <c r="H6" s="29"/>
      <c r="I6" s="22"/>
      <c r="J6" s="23"/>
      <c r="K6" s="15"/>
      <c r="O6" s="1"/>
      <c r="P6" s="1"/>
    </row>
    <row r="7" spans="2:16" ht="15.75" customHeight="1" thickBot="1">
      <c r="B7" s="28"/>
      <c r="C7" s="327" t="str">
        <f>Translation!$A7</f>
        <v>输入更换灯泡（管）的信息</v>
      </c>
      <c r="D7" s="327"/>
      <c r="E7" s="167"/>
      <c r="F7" s="167"/>
      <c r="G7" s="167"/>
      <c r="H7" s="29"/>
      <c r="I7" s="22"/>
      <c r="J7" s="23"/>
      <c r="K7" s="3"/>
      <c r="L7" s="3"/>
      <c r="O7" s="1"/>
      <c r="P7" s="1"/>
    </row>
    <row r="8" spans="2:14" s="43" customFormat="1" ht="4.5" customHeight="1" thickBot="1">
      <c r="B8" s="37"/>
      <c r="D8" s="181"/>
      <c r="E8" s="44"/>
      <c r="F8" s="44"/>
      <c r="G8" s="44"/>
      <c r="H8" s="38"/>
      <c r="I8" s="39"/>
      <c r="J8" s="40"/>
      <c r="K8" s="41"/>
      <c r="L8" s="41"/>
      <c r="M8" s="42"/>
      <c r="N8" s="42"/>
    </row>
    <row r="9" spans="2:16" ht="19.5" customHeight="1" thickBot="1">
      <c r="B9" s="170"/>
      <c r="C9" s="342" t="str">
        <f>Translation!$A8</f>
        <v>现有灯泡（管）</v>
      </c>
      <c r="D9" s="343"/>
      <c r="E9" s="187" t="str">
        <f>Translation!$A9</f>
        <v>灯泡（管）型号</v>
      </c>
      <c r="F9" s="189"/>
      <c r="G9" s="175" t="s">
        <v>244</v>
      </c>
      <c r="H9" s="29"/>
      <c r="I9" s="22"/>
      <c r="J9" s="23"/>
      <c r="K9" s="3"/>
      <c r="L9" s="3"/>
      <c r="O9" s="1"/>
      <c r="P9" s="1"/>
    </row>
    <row r="10" spans="2:14" s="2" customFormat="1" ht="19.5" customHeight="1" thickBot="1">
      <c r="B10" s="56"/>
      <c r="C10" s="344"/>
      <c r="D10" s="345"/>
      <c r="E10" s="151" t="str">
        <f>Translation!$A10</f>
        <v>功率</v>
      </c>
      <c r="F10" s="190" t="str">
        <f>Translation!$A11</f>
        <v>(W)</v>
      </c>
      <c r="G10" s="176">
        <v>60</v>
      </c>
      <c r="H10" s="30"/>
      <c r="I10" s="24"/>
      <c r="J10" s="25"/>
      <c r="L10" s="6"/>
      <c r="M10" s="5"/>
      <c r="N10" s="5"/>
    </row>
    <row r="11" spans="2:14" s="2" customFormat="1" ht="19.5" customHeight="1" thickBot="1">
      <c r="B11" s="56"/>
      <c r="C11" s="344"/>
      <c r="D11" s="345"/>
      <c r="E11" s="188" t="str">
        <f>Translation!$A12</f>
        <v>灯泡（管）寿命</v>
      </c>
      <c r="F11" s="190" t="str">
        <f>Translation!$A13</f>
        <v>(小时)</v>
      </c>
      <c r="G11" s="176">
        <v>2000</v>
      </c>
      <c r="H11" s="30"/>
      <c r="I11" s="24"/>
      <c r="J11" s="25"/>
      <c r="L11" s="6"/>
      <c r="M11" s="5"/>
      <c r="N11" s="5"/>
    </row>
    <row r="12" spans="2:14" s="2" customFormat="1" ht="19.5" customHeight="1" thickBot="1">
      <c r="B12" s="56"/>
      <c r="C12" s="344"/>
      <c r="D12" s="345"/>
      <c r="E12" s="188" t="str">
        <f>Translation!$A14</f>
        <v>每年使用照明灯具时间</v>
      </c>
      <c r="F12" s="190" t="str">
        <f>Translation!$A15</f>
        <v>(小时/年)</v>
      </c>
      <c r="G12" s="176">
        <f>10*22*12</f>
        <v>2640</v>
      </c>
      <c r="H12" s="30"/>
      <c r="I12" s="24"/>
      <c r="J12" s="25"/>
      <c r="L12" s="6"/>
      <c r="M12" s="5"/>
      <c r="N12" s="5"/>
    </row>
    <row r="13" spans="2:14" s="2" customFormat="1" ht="19.5" customHeight="1" thickBot="1">
      <c r="B13" s="56"/>
      <c r="C13" s="344"/>
      <c r="D13" s="345"/>
      <c r="E13" s="188" t="str">
        <f>Translation!$A16</f>
        <v>灯泡单价</v>
      </c>
      <c r="F13" s="190" t="str">
        <f>E33</f>
        <v>￥</v>
      </c>
      <c r="G13" s="176">
        <v>4</v>
      </c>
      <c r="H13" s="30"/>
      <c r="I13" s="24"/>
      <c r="J13" s="25"/>
      <c r="L13" s="6"/>
      <c r="M13" s="5"/>
      <c r="N13" s="5"/>
    </row>
    <row r="14" spans="2:14" s="2" customFormat="1" ht="19.5" customHeight="1" thickBot="1">
      <c r="B14" s="56"/>
      <c r="C14" s="346"/>
      <c r="D14" s="347"/>
      <c r="E14" s="201" t="str">
        <f>Translation!$A17</f>
        <v>一次性更换的现有灯泡（管）数量</v>
      </c>
      <c r="F14" s="194" t="str">
        <f>Translation!$A18</f>
        <v>(只)</v>
      </c>
      <c r="G14" s="177">
        <v>10</v>
      </c>
      <c r="H14" s="30"/>
      <c r="I14" s="24"/>
      <c r="J14" s="25"/>
      <c r="L14" s="6"/>
      <c r="M14" s="5"/>
      <c r="N14" s="5"/>
    </row>
    <row r="15" spans="2:14" s="2" customFormat="1" ht="7.5" customHeight="1" thickBot="1">
      <c r="B15" s="56"/>
      <c r="C15" s="173"/>
      <c r="D15" s="174"/>
      <c r="E15" s="182"/>
      <c r="F15" s="186"/>
      <c r="G15" s="199"/>
      <c r="H15" s="30"/>
      <c r="I15" s="24"/>
      <c r="J15" s="25"/>
      <c r="L15" s="6"/>
      <c r="M15" s="5"/>
      <c r="N15" s="5"/>
    </row>
    <row r="16" spans="2:14" s="2" customFormat="1" ht="18.75" customHeight="1" thickBot="1">
      <c r="B16" s="56"/>
      <c r="C16" s="348" t="str">
        <f>Translation!$A19</f>
        <v>新灯泡（管）</v>
      </c>
      <c r="D16" s="349"/>
      <c r="E16" s="187" t="str">
        <f>Translation!$A9</f>
        <v>灯泡（管）型号</v>
      </c>
      <c r="F16" s="191"/>
      <c r="G16" s="175" t="s">
        <v>241</v>
      </c>
      <c r="H16" s="30"/>
      <c r="I16" s="45"/>
      <c r="J16" s="25"/>
      <c r="L16" s="6"/>
      <c r="M16" s="5"/>
      <c r="N16" s="5"/>
    </row>
    <row r="17" spans="2:14" s="2" customFormat="1" ht="18.75" customHeight="1" thickBot="1">
      <c r="B17" s="56"/>
      <c r="C17" s="350"/>
      <c r="D17" s="351"/>
      <c r="E17" s="188" t="str">
        <f>Translation!$A10</f>
        <v>功率</v>
      </c>
      <c r="F17" s="190" t="str">
        <f>Translation!$A11</f>
        <v>(W)</v>
      </c>
      <c r="G17" s="176">
        <v>10</v>
      </c>
      <c r="H17" s="30"/>
      <c r="I17"/>
      <c r="J17" s="25"/>
      <c r="L17" s="6"/>
      <c r="M17" s="5"/>
      <c r="N17" s="5"/>
    </row>
    <row r="18" spans="2:14" s="2" customFormat="1" ht="18.75" customHeight="1" thickBot="1">
      <c r="B18" s="56"/>
      <c r="C18" s="350"/>
      <c r="D18" s="351"/>
      <c r="E18" s="188" t="str">
        <f>E11</f>
        <v>灯泡（管）寿命</v>
      </c>
      <c r="F18" s="192" t="str">
        <f>F11</f>
        <v>(小时)</v>
      </c>
      <c r="G18" s="176">
        <v>6000</v>
      </c>
      <c r="H18" s="30"/>
      <c r="I18"/>
      <c r="J18" s="25"/>
      <c r="L18" s="6"/>
      <c r="M18" s="5"/>
      <c r="N18" s="5"/>
    </row>
    <row r="19" spans="2:14" s="2" customFormat="1" ht="18.75" customHeight="1" thickBot="1">
      <c r="B19" s="56"/>
      <c r="C19" s="350"/>
      <c r="D19" s="351"/>
      <c r="E19" s="200" t="str">
        <f>E12</f>
        <v>每年使用照明灯具时间</v>
      </c>
      <c r="F19" s="188" t="str">
        <f>F12</f>
        <v>(小时/年)</v>
      </c>
      <c r="G19" s="176">
        <v>2640</v>
      </c>
      <c r="H19" s="30"/>
      <c r="I19"/>
      <c r="J19" s="25"/>
      <c r="L19" s="6"/>
      <c r="M19" s="5"/>
      <c r="N19" s="5"/>
    </row>
    <row r="20" spans="2:14" s="2" customFormat="1" ht="18.75" customHeight="1" hidden="1" thickBot="1">
      <c r="B20" s="56"/>
      <c r="C20" s="350"/>
      <c r="D20" s="351"/>
      <c r="E20" s="188"/>
      <c r="F20" s="193"/>
      <c r="G20" s="178"/>
      <c r="H20" s="30"/>
      <c r="I20"/>
      <c r="J20" s="25"/>
      <c r="L20" s="6"/>
      <c r="M20" s="5"/>
      <c r="N20" s="5"/>
    </row>
    <row r="21" spans="2:14" s="2" customFormat="1" ht="18.75" customHeight="1" thickBot="1">
      <c r="B21" s="56"/>
      <c r="C21" s="350"/>
      <c r="D21" s="351"/>
      <c r="E21" s="194" t="str">
        <f>E13</f>
        <v>灯泡单价</v>
      </c>
      <c r="F21" s="195" t="str">
        <f>F13</f>
        <v>￥</v>
      </c>
      <c r="G21" s="177">
        <v>12</v>
      </c>
      <c r="H21" s="30"/>
      <c r="I21" s="24"/>
      <c r="J21" s="25"/>
      <c r="L21" s="6"/>
      <c r="M21" s="5"/>
      <c r="N21" s="5"/>
    </row>
    <row r="22" spans="2:14" s="2" customFormat="1" ht="18.75" customHeight="1" thickBot="1">
      <c r="B22" s="56"/>
      <c r="C22" s="352"/>
      <c r="D22" s="353"/>
      <c r="E22" s="196" t="str">
        <f>Translation!A20</f>
        <v>一次性更换使用的新灯泡（管）数量</v>
      </c>
      <c r="F22" s="197" t="str">
        <f>F14</f>
        <v>(只)</v>
      </c>
      <c r="G22" s="179">
        <v>11</v>
      </c>
      <c r="H22" s="30"/>
      <c r="I22" s="24"/>
      <c r="J22" s="25"/>
      <c r="L22" s="6"/>
      <c r="M22" s="5"/>
      <c r="N22" s="5"/>
    </row>
    <row r="23" spans="2:14" s="2" customFormat="1" ht="3.75" customHeight="1" thickBot="1">
      <c r="B23" s="56"/>
      <c r="C23" s="183"/>
      <c r="D23" s="182"/>
      <c r="E23" s="182"/>
      <c r="F23" s="182"/>
      <c r="G23" s="199"/>
      <c r="H23" s="30"/>
      <c r="I23" s="24"/>
      <c r="J23" s="25"/>
      <c r="L23" s="6"/>
      <c r="M23" s="5"/>
      <c r="N23" s="5"/>
    </row>
    <row r="24" spans="2:14" s="2" customFormat="1" ht="18.75" customHeight="1" thickBot="1">
      <c r="B24" s="56"/>
      <c r="C24" s="333" t="str">
        <f>Translation!$A21</f>
        <v>电价</v>
      </c>
      <c r="D24" s="334"/>
      <c r="E24" s="335"/>
      <c r="F24" s="187" t="str">
        <f>Translation!$A22</f>
        <v>每度电</v>
      </c>
      <c r="G24" s="180">
        <v>0.5</v>
      </c>
      <c r="H24" s="30"/>
      <c r="I24" s="24"/>
      <c r="J24" s="25"/>
      <c r="L24" s="6"/>
      <c r="M24" s="5"/>
      <c r="N24" s="5"/>
    </row>
    <row r="25" spans="2:14" s="2" customFormat="1" ht="18.75" customHeight="1" thickBot="1">
      <c r="B25" s="56"/>
      <c r="C25" s="336" t="str">
        <f>Translation!$A23</f>
        <v>分析期</v>
      </c>
      <c r="D25" s="337"/>
      <c r="E25" s="338"/>
      <c r="F25" s="192" t="str">
        <f>Translation!$A24</f>
        <v>(年)</v>
      </c>
      <c r="G25" s="176">
        <v>2</v>
      </c>
      <c r="H25" s="30"/>
      <c r="I25" s="24"/>
      <c r="J25" s="25"/>
      <c r="L25" s="6"/>
      <c r="M25" s="5"/>
      <c r="N25" s="5"/>
    </row>
    <row r="26" spans="2:14" s="2" customFormat="1" ht="18.75" customHeight="1" thickBot="1">
      <c r="B26" s="56"/>
      <c r="C26" s="339" t="str">
        <f>Translation!$A25</f>
        <v>货币</v>
      </c>
      <c r="D26" s="340"/>
      <c r="E26" s="341"/>
      <c r="F26" s="198"/>
      <c r="G26" s="330" t="s">
        <v>245</v>
      </c>
      <c r="H26" s="30"/>
      <c r="I26" s="24"/>
      <c r="J26" s="25"/>
      <c r="L26" s="6"/>
      <c r="M26" s="5"/>
      <c r="N26" s="5"/>
    </row>
    <row r="27" spans="2:14" s="2" customFormat="1" ht="13.5" thickBot="1">
      <c r="B27" s="56"/>
      <c r="C27" s="184"/>
      <c r="D27" s="185"/>
      <c r="E27" s="185"/>
      <c r="F27" s="185"/>
      <c r="G27" s="48"/>
      <c r="H27" s="49"/>
      <c r="I27" s="50"/>
      <c r="J27" s="51"/>
      <c r="L27" s="52"/>
      <c r="M27" s="53"/>
      <c r="N27" s="53"/>
    </row>
    <row r="28" spans="2:16" ht="15.75" thickBot="1">
      <c r="B28" s="172"/>
      <c r="C28" s="171"/>
      <c r="D28" s="26"/>
      <c r="E28" s="26"/>
      <c r="F28" s="26"/>
      <c r="G28" s="26"/>
      <c r="H28" s="26"/>
      <c r="I28" s="26"/>
      <c r="J28" s="27"/>
      <c r="K28" s="16"/>
      <c r="L28" s="7"/>
      <c r="M28" s="7"/>
      <c r="N28" s="7"/>
      <c r="O28" s="1"/>
      <c r="P28" s="1"/>
    </row>
    <row r="29" spans="3:16" ht="15.75">
      <c r="C29" s="12"/>
      <c r="D29" s="10"/>
      <c r="E29" s="10"/>
      <c r="F29" s="10"/>
      <c r="G29" s="10"/>
      <c r="H29" s="10"/>
      <c r="I29" s="17"/>
      <c r="J29" s="17"/>
      <c r="K29" s="17"/>
      <c r="L29" s="17"/>
      <c r="N29" s="10"/>
      <c r="O29" s="10"/>
      <c r="P29" s="10"/>
    </row>
    <row r="30" spans="3:16" ht="15.75">
      <c r="C30" s="12"/>
      <c r="D30" s="10"/>
      <c r="E30" s="10"/>
      <c r="F30" s="10"/>
      <c r="G30" s="10"/>
      <c r="H30" s="10"/>
      <c r="I30" s="17"/>
      <c r="J30" s="10"/>
      <c r="K30" s="10"/>
      <c r="L30" s="10"/>
      <c r="M30" s="10"/>
      <c r="N30" s="10"/>
      <c r="O30" s="10"/>
      <c r="P30" s="10"/>
    </row>
    <row r="31" spans="3:16" ht="189" customHeight="1">
      <c r="C31" s="10"/>
      <c r="H31" s="11"/>
      <c r="J31" s="10"/>
      <c r="K31" s="10"/>
      <c r="L31" s="10"/>
      <c r="M31" s="10"/>
      <c r="N31" s="10"/>
      <c r="O31" s="10"/>
      <c r="P31" s="10"/>
    </row>
    <row r="32" spans="3:16" ht="15">
      <c r="C32" s="10"/>
      <c r="D32" s="10"/>
      <c r="E32" s="10"/>
      <c r="F32" s="10"/>
      <c r="G32" s="10"/>
      <c r="H32" s="10"/>
      <c r="N32" s="10"/>
      <c r="O32" s="10"/>
      <c r="P32" s="10"/>
    </row>
    <row r="33" spans="3:16" ht="15.75" hidden="1" thickBot="1">
      <c r="C33" s="10"/>
      <c r="D33" s="101" t="s">
        <v>121</v>
      </c>
      <c r="E33" s="57" t="str">
        <f>G26</f>
        <v>￥</v>
      </c>
      <c r="F33" s="104"/>
      <c r="G33" s="10"/>
      <c r="H33" s="10"/>
      <c r="N33" s="10"/>
      <c r="O33" s="10"/>
      <c r="P33" s="10"/>
    </row>
    <row r="34" spans="3:16" ht="15.75" hidden="1">
      <c r="C34" s="10"/>
      <c r="D34" s="10" t="s">
        <v>118</v>
      </c>
      <c r="E34" s="102" t="s">
        <v>120</v>
      </c>
      <c r="F34" s="12"/>
      <c r="G34" s="10"/>
      <c r="H34" s="10"/>
      <c r="N34" s="10"/>
      <c r="O34" s="10"/>
      <c r="P34" s="10"/>
    </row>
    <row r="35" spans="3:16" ht="15" hidden="1">
      <c r="C35" s="10"/>
      <c r="D35" s="10"/>
      <c r="E35" s="10" t="s">
        <v>119</v>
      </c>
      <c r="F35" s="102"/>
      <c r="G35" s="10"/>
      <c r="H35" s="10"/>
      <c r="N35" s="10"/>
      <c r="O35" s="10"/>
      <c r="P35" s="10"/>
    </row>
    <row r="36" spans="3:16" ht="15">
      <c r="C36" s="10"/>
      <c r="D36" s="10"/>
      <c r="E36" s="10"/>
      <c r="F36" s="10"/>
      <c r="G36" s="10"/>
      <c r="H36" s="10"/>
      <c r="N36" s="10"/>
      <c r="O36" s="10"/>
      <c r="P36" s="10"/>
    </row>
    <row r="37" spans="3:16" ht="15"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s="8" customFormat="1" ht="12.75"/>
    <row r="39" s="8" customFormat="1" ht="12.75"/>
    <row r="40" spans="3:16" s="13" customFormat="1" ht="12">
      <c r="C40" s="14"/>
      <c r="I40" s="14"/>
      <c r="J40" s="14"/>
      <c r="K40" s="14"/>
      <c r="L40" s="14"/>
      <c r="M40" s="14"/>
      <c r="N40" s="14"/>
      <c r="O40" s="14"/>
      <c r="P40" s="14"/>
    </row>
    <row r="41" spans="3:16" s="13" customFormat="1" ht="12">
      <c r="C41" s="14"/>
      <c r="I41" s="14"/>
      <c r="J41" s="14"/>
      <c r="K41" s="14"/>
      <c r="L41" s="14"/>
      <c r="M41" s="14"/>
      <c r="N41" s="14"/>
      <c r="O41" s="14"/>
      <c r="P41" s="14"/>
    </row>
    <row r="42" spans="3:16" s="13" customFormat="1" ht="12">
      <c r="C42" s="14"/>
      <c r="I42" s="14"/>
      <c r="J42" s="14"/>
      <c r="K42" s="14"/>
      <c r="L42" s="14"/>
      <c r="M42" s="14"/>
      <c r="N42" s="14"/>
      <c r="O42" s="14"/>
      <c r="P42" s="14"/>
    </row>
    <row r="43" spans="3:16" s="13" customFormat="1" ht="12">
      <c r="C43" s="14"/>
      <c r="I43" s="14"/>
      <c r="J43" s="14"/>
      <c r="K43" s="14"/>
      <c r="L43" s="14"/>
      <c r="M43" s="14"/>
      <c r="N43" s="14"/>
      <c r="O43" s="14"/>
      <c r="P43" s="14"/>
    </row>
    <row r="44" spans="3:16" s="13" customFormat="1" ht="12">
      <c r="C44" s="14"/>
      <c r="I44" s="14"/>
      <c r="J44" s="14"/>
      <c r="K44" s="14"/>
      <c r="L44" s="14"/>
      <c r="M44" s="14"/>
      <c r="N44" s="14"/>
      <c r="O44" s="14"/>
      <c r="P44" s="14"/>
    </row>
    <row r="45" spans="3:16" s="13" customFormat="1" ht="12">
      <c r="C45" s="14"/>
      <c r="I45" s="14"/>
      <c r="J45" s="14"/>
      <c r="K45" s="14"/>
      <c r="L45" s="14"/>
      <c r="M45" s="14"/>
      <c r="N45" s="14"/>
      <c r="O45" s="14"/>
      <c r="P45" s="14"/>
    </row>
    <row r="46" spans="3:16" s="13" customFormat="1" ht="12">
      <c r="C46" s="14"/>
      <c r="I46" s="14"/>
      <c r="J46" s="14"/>
      <c r="K46" s="14"/>
      <c r="L46" s="14"/>
      <c r="M46" s="14"/>
      <c r="N46" s="14"/>
      <c r="O46" s="14"/>
      <c r="P46" s="14"/>
    </row>
    <row r="47" spans="3:16" s="13" customFormat="1" ht="12">
      <c r="C47" s="14"/>
      <c r="I47" s="14"/>
      <c r="J47" s="14"/>
      <c r="K47" s="14"/>
      <c r="L47" s="14"/>
      <c r="M47" s="14"/>
      <c r="N47" s="14"/>
      <c r="O47" s="14"/>
      <c r="P47" s="14"/>
    </row>
    <row r="48" spans="3:16" s="13" customFormat="1" ht="12">
      <c r="C48" s="14"/>
      <c r="I48" s="14"/>
      <c r="J48" s="14"/>
      <c r="K48" s="14"/>
      <c r="L48" s="14"/>
      <c r="M48" s="14"/>
      <c r="N48" s="14"/>
      <c r="O48" s="14"/>
      <c r="P48" s="14"/>
    </row>
    <row r="49" spans="3:16" s="13" customFormat="1" ht="12">
      <c r="C49" s="14"/>
      <c r="I49" s="14"/>
      <c r="J49" s="14"/>
      <c r="K49" s="14"/>
      <c r="L49" s="14"/>
      <c r="M49" s="14"/>
      <c r="N49" s="14"/>
      <c r="O49" s="14"/>
      <c r="P49" s="14"/>
    </row>
    <row r="50" spans="3:16" s="13" customFormat="1" ht="12">
      <c r="C50" s="14"/>
      <c r="I50" s="14"/>
      <c r="J50" s="14"/>
      <c r="K50" s="14"/>
      <c r="L50" s="14"/>
      <c r="M50" s="14"/>
      <c r="N50" s="14"/>
      <c r="O50" s="14"/>
      <c r="P50" s="14"/>
    </row>
    <row r="51" spans="3:16" s="13" customFormat="1" ht="12">
      <c r="C51" s="14"/>
      <c r="I51" s="14"/>
      <c r="J51" s="14"/>
      <c r="K51" s="14"/>
      <c r="L51" s="14"/>
      <c r="M51" s="14"/>
      <c r="N51" s="14"/>
      <c r="O51" s="14"/>
      <c r="P51" s="14"/>
    </row>
    <row r="52" spans="3:16" s="13" customFormat="1" ht="12">
      <c r="C52" s="14"/>
      <c r="I52" s="14"/>
      <c r="J52" s="14"/>
      <c r="K52" s="14"/>
      <c r="L52" s="14"/>
      <c r="M52" s="14"/>
      <c r="N52" s="14"/>
      <c r="O52" s="14"/>
      <c r="P52" s="14"/>
    </row>
    <row r="53" spans="3:16" s="13" customFormat="1" ht="12">
      <c r="C53" s="14"/>
      <c r="I53" s="14"/>
      <c r="J53" s="14"/>
      <c r="K53" s="14"/>
      <c r="L53" s="14"/>
      <c r="M53" s="14"/>
      <c r="N53" s="14"/>
      <c r="O53" s="14"/>
      <c r="P53" s="14"/>
    </row>
    <row r="54" spans="3:16" s="13" customFormat="1" ht="12">
      <c r="C54" s="14"/>
      <c r="I54" s="14"/>
      <c r="J54" s="14"/>
      <c r="K54" s="14"/>
      <c r="L54" s="14"/>
      <c r="M54" s="14"/>
      <c r="N54" s="14"/>
      <c r="O54" s="14"/>
      <c r="P54" s="14"/>
    </row>
    <row r="55" spans="3:16" s="13" customFormat="1" ht="12">
      <c r="C55" s="14"/>
      <c r="I55" s="14"/>
      <c r="J55" s="14"/>
      <c r="K55" s="14"/>
      <c r="L55" s="14"/>
      <c r="M55" s="14"/>
      <c r="N55" s="14"/>
      <c r="O55" s="14"/>
      <c r="P55" s="14"/>
    </row>
  </sheetData>
  <sheetProtection password="DDC2" sheet="1" objects="1" scenarios="1" formatColumns="0"/>
  <protectedRanges>
    <protectedRange sqref="G9:G26" name="区域1"/>
  </protectedRanges>
  <mergeCells count="5">
    <mergeCell ref="C24:E24"/>
    <mergeCell ref="C25:E25"/>
    <mergeCell ref="C26:E26"/>
    <mergeCell ref="C9:D14"/>
    <mergeCell ref="C16:D22"/>
  </mergeCells>
  <dataValidations count="1">
    <dataValidation type="list" allowBlank="1" showInputMessage="1" showErrorMessage="1" sqref="G26">
      <formula1>$E$34:$E$35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W108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4.25"/>
  <cols>
    <col min="1" max="1" width="1.875" style="58" customWidth="1"/>
    <col min="2" max="2" width="0.875" style="58" customWidth="1"/>
    <col min="3" max="3" width="16.125" style="58" customWidth="1"/>
    <col min="4" max="4" width="9.75390625" style="58" customWidth="1"/>
    <col min="5" max="5" width="8.625" style="58" customWidth="1"/>
    <col min="6" max="6" width="11.125" style="58" customWidth="1"/>
    <col min="7" max="7" width="7.50390625" style="58" customWidth="1"/>
    <col min="8" max="8" width="8.875" style="58" customWidth="1"/>
    <col min="9" max="9" width="10.125" style="58" customWidth="1"/>
    <col min="10" max="10" width="4.375" style="58" customWidth="1"/>
    <col min="11" max="11" width="5.625" style="58" customWidth="1"/>
    <col min="12" max="12" width="3.375" style="58" customWidth="1"/>
    <col min="13" max="13" width="3.625" style="58" customWidth="1"/>
    <col min="14" max="14" width="5.875" style="58" customWidth="1"/>
    <col min="15" max="15" width="9.00390625" style="58" customWidth="1"/>
    <col min="16" max="16" width="11.625" style="58" customWidth="1"/>
    <col min="17" max="19" width="9.00390625" style="58" customWidth="1"/>
    <col min="20" max="20" width="6.375" style="58" customWidth="1"/>
    <col min="21" max="16384" width="9.00390625" style="58" customWidth="1"/>
  </cols>
  <sheetData>
    <row r="1" spans="1:20" ht="14.25">
      <c r="A1" s="218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219"/>
    </row>
    <row r="2" spans="1:20" ht="14.25">
      <c r="A2" s="220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221"/>
    </row>
    <row r="3" spans="1:20" ht="14.25">
      <c r="A3" s="220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221"/>
    </row>
    <row r="4" spans="1:20" ht="14.25">
      <c r="A4" s="220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221"/>
    </row>
    <row r="5" spans="1:20" ht="14.25">
      <c r="A5" s="220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221"/>
    </row>
    <row r="6" spans="1:20" ht="14.25">
      <c r="A6" s="220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221"/>
    </row>
    <row r="7" spans="1:20" ht="14.25">
      <c r="A7" s="220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221"/>
    </row>
    <row r="8" spans="1:20" ht="20.25">
      <c r="A8" s="222"/>
      <c r="B8" s="223"/>
      <c r="C8" s="224" t="str">
        <f>Translation!$A29</f>
        <v>成本收益分析</v>
      </c>
      <c r="D8" s="225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7"/>
    </row>
    <row r="9" spans="1:20" ht="11.25" customHeight="1">
      <c r="A9" s="222"/>
      <c r="B9" s="223"/>
      <c r="C9" s="223"/>
      <c r="D9" s="223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9"/>
    </row>
    <row r="10" spans="1:21" s="61" customFormat="1" ht="15" customHeight="1">
      <c r="A10" s="230"/>
      <c r="B10" s="107"/>
      <c r="C10" s="110" t="str">
        <f>Translation!$A30</f>
        <v>灯泡（管）信息</v>
      </c>
      <c r="D10" s="113"/>
      <c r="E10" s="206"/>
      <c r="F10" s="111"/>
      <c r="G10" s="112"/>
      <c r="H10" s="112"/>
      <c r="I10" s="112"/>
      <c r="J10" s="112"/>
      <c r="K10" s="112"/>
      <c r="L10" s="112"/>
      <c r="M10" s="112"/>
      <c r="N10" s="112"/>
      <c r="O10" s="108"/>
      <c r="P10" s="63"/>
      <c r="Q10" s="63"/>
      <c r="R10" s="64"/>
      <c r="S10" s="63"/>
      <c r="T10" s="231"/>
      <c r="U10" s="58"/>
    </row>
    <row r="11" spans="1:20" ht="15">
      <c r="A11" s="232"/>
      <c r="B11" s="109"/>
      <c r="C11" s="328" t="str">
        <f>Translation!$A31</f>
        <v>现有灯泡（管）</v>
      </c>
      <c r="D11" s="360" t="str">
        <f>Input!G9</f>
        <v>Incandecent</v>
      </c>
      <c r="E11" s="361"/>
      <c r="F11" s="150" t="str">
        <f>Translation!$A32</f>
        <v>寿命</v>
      </c>
      <c r="G11" s="238">
        <f>Input!G11</f>
        <v>2000</v>
      </c>
      <c r="H11" s="239" t="str">
        <f>Translation!$A33</f>
        <v>小时</v>
      </c>
      <c r="I11" s="151" t="str">
        <f>Translation!$A34</f>
        <v>功率</v>
      </c>
      <c r="J11" s="358">
        <f>Input!G10</f>
        <v>60</v>
      </c>
      <c r="K11" s="358"/>
      <c r="L11" s="240" t="s">
        <v>46</v>
      </c>
      <c r="M11" s="241"/>
      <c r="N11" s="153"/>
      <c r="O11" s="66"/>
      <c r="P11" s="64"/>
      <c r="Q11" s="64"/>
      <c r="R11" s="64"/>
      <c r="S11" s="64"/>
      <c r="T11" s="231"/>
    </row>
    <row r="12" spans="1:20" ht="15.75" thickBot="1">
      <c r="A12" s="232"/>
      <c r="B12" s="94"/>
      <c r="C12" s="329" t="str">
        <f>Translation!$A35</f>
        <v>新灯泡（管）</v>
      </c>
      <c r="D12" s="362" t="str">
        <f>Input!G16</f>
        <v>CFJ</v>
      </c>
      <c r="E12" s="363"/>
      <c r="F12" s="140" t="str">
        <f>Translation!$A32</f>
        <v>寿命</v>
      </c>
      <c r="G12" s="242">
        <f>Input!G18</f>
        <v>6000</v>
      </c>
      <c r="H12" s="243" t="str">
        <f>Translation!$A33</f>
        <v>小时</v>
      </c>
      <c r="I12" s="141" t="str">
        <f>Translation!$A34</f>
        <v>功率</v>
      </c>
      <c r="J12" s="359">
        <f>Input!G17</f>
        <v>10</v>
      </c>
      <c r="K12" s="359"/>
      <c r="L12" s="244" t="s">
        <v>46</v>
      </c>
      <c r="M12" s="245"/>
      <c r="N12" s="130"/>
      <c r="O12" s="66"/>
      <c r="P12" s="64"/>
      <c r="Q12" s="64"/>
      <c r="R12" s="64"/>
      <c r="S12" s="64"/>
      <c r="T12" s="231"/>
    </row>
    <row r="13" spans="1:20" ht="12.75" customHeight="1">
      <c r="A13" s="233"/>
      <c r="B13" s="73"/>
      <c r="C13" s="67"/>
      <c r="D13" s="67"/>
      <c r="E13" s="67"/>
      <c r="F13" s="67"/>
      <c r="G13" s="67"/>
      <c r="H13" s="67"/>
      <c r="I13" s="67"/>
      <c r="J13" s="68"/>
      <c r="K13" s="68"/>
      <c r="L13" s="68"/>
      <c r="M13" s="68"/>
      <c r="N13" s="68"/>
      <c r="O13" s="64"/>
      <c r="P13" s="64"/>
      <c r="Q13" s="64"/>
      <c r="R13" s="64"/>
      <c r="S13" s="64"/>
      <c r="T13" s="231"/>
    </row>
    <row r="14" spans="1:20" ht="18">
      <c r="A14" s="232"/>
      <c r="B14" s="64"/>
      <c r="C14" s="204" t="str">
        <f>Translation!A36</f>
        <v>简单投资回收期</v>
      </c>
      <c r="D14" s="204"/>
      <c r="E14" s="205"/>
      <c r="F14" s="122"/>
      <c r="G14" s="122"/>
      <c r="H14" s="123"/>
      <c r="I14" s="122"/>
      <c r="J14" s="122"/>
      <c r="K14" s="122"/>
      <c r="L14" s="122"/>
      <c r="M14" s="122"/>
      <c r="N14" s="122"/>
      <c r="O14" s="66"/>
      <c r="P14" s="64"/>
      <c r="Q14" s="64"/>
      <c r="R14" s="64"/>
      <c r="S14" s="64"/>
      <c r="T14" s="231"/>
    </row>
    <row r="15" spans="1:20" ht="21" customHeight="1">
      <c r="A15" s="232"/>
      <c r="B15" s="65"/>
      <c r="C15" s="124" t="str">
        <f>Translation!$A37</f>
        <v>单只灯泡（管）替换</v>
      </c>
      <c r="D15" s="125"/>
      <c r="E15" s="72"/>
      <c r="F15" s="72"/>
      <c r="G15" s="72"/>
      <c r="H15" s="62"/>
      <c r="I15" s="124" t="str">
        <f>Translation!$A38</f>
        <v>多只灯泡（管）替换</v>
      </c>
      <c r="J15" s="126"/>
      <c r="K15" s="72"/>
      <c r="L15" s="72"/>
      <c r="M15" s="62"/>
      <c r="N15" s="125">
        <f>Input!G22</f>
        <v>11</v>
      </c>
      <c r="O15" s="139" t="str">
        <f>Translation!A39</f>
        <v>只新灯泡（管）使用</v>
      </c>
      <c r="P15" s="64"/>
      <c r="Q15" s="64"/>
      <c r="R15" s="64"/>
      <c r="S15" s="64"/>
      <c r="T15" s="231"/>
    </row>
    <row r="16" spans="1:20" ht="15">
      <c r="A16" s="232"/>
      <c r="B16" s="65"/>
      <c r="C16" s="62"/>
      <c r="D16" s="62"/>
      <c r="E16" s="322" t="str">
        <f>Translation!$A31</f>
        <v>现有灯泡（管）</v>
      </c>
      <c r="F16" s="73"/>
      <c r="G16" s="323" t="str">
        <f>Translation!$A35</f>
        <v>新灯泡（管）</v>
      </c>
      <c r="H16" s="92"/>
      <c r="I16" s="72"/>
      <c r="J16" s="62"/>
      <c r="K16" s="62"/>
      <c r="L16" s="127" t="str">
        <f>Translation!$A31</f>
        <v>现有灯泡（管）</v>
      </c>
      <c r="M16" s="127"/>
      <c r="N16" s="127"/>
      <c r="O16" s="62"/>
      <c r="P16" s="73" t="str">
        <f>Translation!$A35</f>
        <v>新灯泡（管）</v>
      </c>
      <c r="Q16" s="71"/>
      <c r="R16" s="64"/>
      <c r="S16" s="64"/>
      <c r="T16" s="231"/>
    </row>
    <row r="17" spans="1:23" ht="15">
      <c r="A17" s="233"/>
      <c r="B17" s="65"/>
      <c r="C17" s="131" t="str">
        <f>Translation!A40</f>
        <v>初始投资</v>
      </c>
      <c r="D17" s="249" t="str">
        <f>Input!E33</f>
        <v>￥</v>
      </c>
      <c r="E17" s="132">
        <v>0</v>
      </c>
      <c r="F17" s="133"/>
      <c r="G17" s="137">
        <f>Input!G21*1</f>
        <v>12</v>
      </c>
      <c r="H17" s="138"/>
      <c r="I17" s="131" t="str">
        <f>Translation!A40</f>
        <v>初始投资</v>
      </c>
      <c r="J17" s="203"/>
      <c r="K17" s="153" t="str">
        <f>Input!E33</f>
        <v>￥</v>
      </c>
      <c r="L17" s="208"/>
      <c r="M17" s="356">
        <v>0</v>
      </c>
      <c r="N17" s="357"/>
      <c r="O17" s="134"/>
      <c r="P17" s="324">
        <f>E75</f>
        <v>132</v>
      </c>
      <c r="Q17" s="217"/>
      <c r="R17" s="66"/>
      <c r="S17" s="64"/>
      <c r="T17" s="231"/>
      <c r="U17" s="66"/>
      <c r="V17" s="64"/>
      <c r="W17" s="64"/>
    </row>
    <row r="18" spans="1:20" ht="15.75">
      <c r="A18" s="232"/>
      <c r="B18" s="65"/>
      <c r="C18" s="128" t="str">
        <f>Translation!A41</f>
        <v>投资回收期</v>
      </c>
      <c r="D18" s="127"/>
      <c r="E18" s="165">
        <f>E59</f>
        <v>0.18679950186799502</v>
      </c>
      <c r="F18" s="72" t="str">
        <f>Translation!A42</f>
        <v>年 （或）</v>
      </c>
      <c r="G18" s="135"/>
      <c r="H18" s="207"/>
      <c r="I18" s="212" t="str">
        <f>Translation!A41</f>
        <v>投资回收期</v>
      </c>
      <c r="J18" s="213"/>
      <c r="K18" s="214"/>
      <c r="L18" s="214"/>
      <c r="M18" s="214"/>
      <c r="N18" s="209">
        <f>E74</f>
        <v>0.21156558533145275</v>
      </c>
      <c r="O18" s="215" t="str">
        <f>Translation!A42</f>
        <v>年 （或）</v>
      </c>
      <c r="P18" s="216"/>
      <c r="Q18" s="94"/>
      <c r="R18" s="64"/>
      <c r="S18" s="64"/>
      <c r="T18" s="231"/>
    </row>
    <row r="19" spans="1:20" ht="16.5" thickBot="1">
      <c r="A19" s="232"/>
      <c r="B19" s="65"/>
      <c r="C19" s="100"/>
      <c r="D19" s="129"/>
      <c r="E19" s="166">
        <f>G59</f>
        <v>2.2415940224159403</v>
      </c>
      <c r="F19" s="106" t="str">
        <f>Translation!A43</f>
        <v>月</v>
      </c>
      <c r="G19" s="136"/>
      <c r="H19" s="129"/>
      <c r="I19" s="106"/>
      <c r="J19" s="130"/>
      <c r="K19" s="100"/>
      <c r="L19" s="100"/>
      <c r="M19" s="100"/>
      <c r="N19" s="210">
        <f>G74</f>
        <v>2.538787023977433</v>
      </c>
      <c r="O19" s="106" t="str">
        <f>Translation!A43</f>
        <v>月</v>
      </c>
      <c r="P19" s="100"/>
      <c r="Q19" s="62"/>
      <c r="R19" s="66"/>
      <c r="S19" s="64"/>
      <c r="T19" s="231"/>
    </row>
    <row r="20" spans="1:20" ht="15">
      <c r="A20" s="232"/>
      <c r="B20" s="65"/>
      <c r="C20" s="115"/>
      <c r="D20" s="115"/>
      <c r="E20" s="116"/>
      <c r="F20" s="115"/>
      <c r="G20" s="117"/>
      <c r="H20" s="115"/>
      <c r="I20" s="92"/>
      <c r="J20" s="72"/>
      <c r="K20" s="72"/>
      <c r="L20" s="93"/>
      <c r="M20" s="72"/>
      <c r="N20" s="94"/>
      <c r="O20" s="211"/>
      <c r="P20" s="68"/>
      <c r="Q20" s="68"/>
      <c r="R20" s="64"/>
      <c r="S20" s="64"/>
      <c r="T20" s="231"/>
    </row>
    <row r="21" spans="1:20" ht="18.75" thickBot="1">
      <c r="A21" s="232"/>
      <c r="B21" s="65"/>
      <c r="C21" s="144" t="str">
        <f>Translation!A44</f>
        <v>成本和节约</v>
      </c>
      <c r="D21" s="118"/>
      <c r="E21" s="354" t="str">
        <f>Translation!$A45</f>
        <v>分析期</v>
      </c>
      <c r="F21" s="354"/>
      <c r="G21" s="143">
        <f>Input!G25</f>
        <v>2</v>
      </c>
      <c r="H21" s="142" t="str">
        <f>Translation!A46</f>
        <v>年</v>
      </c>
      <c r="I21" s="355"/>
      <c r="J21" s="355"/>
      <c r="K21" s="114"/>
      <c r="L21" s="114"/>
      <c r="M21" s="114"/>
      <c r="N21" s="114"/>
      <c r="O21" s="64"/>
      <c r="P21" s="64"/>
      <c r="Q21" s="64"/>
      <c r="R21" s="64"/>
      <c r="S21" s="64"/>
      <c r="T21" s="231"/>
    </row>
    <row r="22" spans="1:20" ht="15">
      <c r="A22" s="232"/>
      <c r="B22" s="109"/>
      <c r="C22" s="119"/>
      <c r="D22" s="120"/>
      <c r="E22" s="121"/>
      <c r="F22" s="121"/>
      <c r="G22" s="121"/>
      <c r="H22" s="121"/>
      <c r="I22" s="66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231"/>
    </row>
    <row r="23" spans="1:20" ht="16.5" thickBot="1">
      <c r="A23" s="234"/>
      <c r="B23" s="62"/>
      <c r="C23" s="145" t="str">
        <f>Translation!A47</f>
        <v>分析期内成本</v>
      </c>
      <c r="D23" s="71"/>
      <c r="E23" s="316"/>
      <c r="F23" s="71"/>
      <c r="G23" s="71"/>
      <c r="H23" s="71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231"/>
    </row>
    <row r="24" spans="1:20" ht="15">
      <c r="A24" s="232"/>
      <c r="B24" s="99"/>
      <c r="C24" s="154"/>
      <c r="D24" s="155"/>
      <c r="E24" s="62"/>
      <c r="F24" s="155" t="str">
        <f>Translation!A48</f>
        <v>现有灯泡（管）</v>
      </c>
      <c r="G24" s="155"/>
      <c r="H24" s="156" t="str">
        <f>Translation!A49</f>
        <v>新灯泡（管）</v>
      </c>
      <c r="I24" s="115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231"/>
    </row>
    <row r="25" spans="1:20" ht="15">
      <c r="A25" s="232"/>
      <c r="B25" s="65"/>
      <c r="C25" s="157" t="str">
        <f>Translation!A50</f>
        <v>使用的灯泡（管）数量</v>
      </c>
      <c r="D25" s="158"/>
      <c r="E25" s="62"/>
      <c r="F25" s="158">
        <f>E93</f>
        <v>30</v>
      </c>
      <c r="G25" s="158"/>
      <c r="H25" s="153">
        <f>E92</f>
        <v>11</v>
      </c>
      <c r="I25" s="152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231"/>
    </row>
    <row r="26" spans="1:20" ht="15">
      <c r="A26" s="233"/>
      <c r="B26" s="65"/>
      <c r="C26" s="157" t="str">
        <f>Translation!A51</f>
        <v>购买灯泡（管）费用</v>
      </c>
      <c r="D26" s="74"/>
      <c r="E26" s="250" t="str">
        <f>Input!$E$33</f>
        <v>￥</v>
      </c>
      <c r="F26" s="318">
        <f>E95</f>
        <v>80</v>
      </c>
      <c r="G26" s="318"/>
      <c r="H26" s="319">
        <f>E94</f>
        <v>132</v>
      </c>
      <c r="I26" s="160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231"/>
    </row>
    <row r="27" spans="1:20" ht="15">
      <c r="A27" s="232"/>
      <c r="B27" s="65"/>
      <c r="C27" s="159" t="str">
        <f>Translation!A52</f>
        <v>能源费用</v>
      </c>
      <c r="D27" s="74"/>
      <c r="E27" s="250" t="str">
        <f>Input!$E$33</f>
        <v>￥</v>
      </c>
      <c r="F27" s="318">
        <f>E103</f>
        <v>1584</v>
      </c>
      <c r="G27" s="318"/>
      <c r="H27" s="319">
        <f>E100</f>
        <v>290.40000000000003</v>
      </c>
      <c r="I27" s="160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231"/>
    </row>
    <row r="28" spans="1:20" ht="15.75" thickBot="1">
      <c r="A28" s="232"/>
      <c r="B28" s="65"/>
      <c r="C28" s="161" t="str">
        <f>Translation!A53</f>
        <v>费用成本总计</v>
      </c>
      <c r="D28" s="162"/>
      <c r="E28" s="251" t="str">
        <f>Input!$E$33</f>
        <v>￥</v>
      </c>
      <c r="F28" s="320">
        <f>SUM(F26:F27)</f>
        <v>1664</v>
      </c>
      <c r="G28" s="320"/>
      <c r="H28" s="321">
        <f>SUM(H26:H27)</f>
        <v>422.40000000000003</v>
      </c>
      <c r="I28" s="163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231"/>
    </row>
    <row r="29" spans="1:20" ht="14.25">
      <c r="A29" s="232"/>
      <c r="B29" s="65"/>
      <c r="C29" s="92"/>
      <c r="D29" s="72"/>
      <c r="E29" s="252"/>
      <c r="F29" s="72"/>
      <c r="G29" s="94"/>
      <c r="H29" s="92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231"/>
    </row>
    <row r="30" spans="1:20" ht="16.5" thickBot="1">
      <c r="A30" s="232"/>
      <c r="B30" s="65"/>
      <c r="C30" s="147" t="str">
        <f>Translation!A54</f>
        <v>分析期内节约</v>
      </c>
      <c r="D30" s="146"/>
      <c r="E30" s="253" t="str">
        <f>Input!$E$33</f>
        <v>￥</v>
      </c>
      <c r="F30" s="317">
        <f>$F$28-$H$28</f>
        <v>1241.6</v>
      </c>
      <c r="G30" s="106"/>
      <c r="H30" s="130"/>
      <c r="I30" s="66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231"/>
    </row>
    <row r="31" spans="1:20" ht="14.25">
      <c r="A31" s="232"/>
      <c r="B31" s="64"/>
      <c r="C31" s="72"/>
      <c r="D31" s="72"/>
      <c r="E31" s="72"/>
      <c r="F31" s="72"/>
      <c r="G31" s="72"/>
      <c r="H31" s="72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231"/>
    </row>
    <row r="32" spans="1:20" ht="18">
      <c r="A32" s="232"/>
      <c r="B32" s="65"/>
      <c r="C32" s="144" t="str">
        <f>Translation!A55</f>
        <v>环境效益</v>
      </c>
      <c r="D32" s="148"/>
      <c r="E32" s="62"/>
      <c r="F32" s="62"/>
      <c r="G32" s="62"/>
      <c r="H32" s="62"/>
      <c r="I32" s="66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231"/>
    </row>
    <row r="33" spans="1:20" ht="15">
      <c r="A33" s="232"/>
      <c r="B33" s="65"/>
      <c r="C33" s="128" t="str">
        <f>Translation!A56</f>
        <v>节约能源</v>
      </c>
      <c r="D33" s="62" t="s">
        <v>96</v>
      </c>
      <c r="E33" s="325">
        <f>E102-E99</f>
        <v>2587.2</v>
      </c>
      <c r="F33" s="62"/>
      <c r="G33" s="62"/>
      <c r="H33" s="62"/>
      <c r="I33" s="66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231"/>
    </row>
    <row r="34" spans="1:20" ht="15.75" thickBot="1">
      <c r="A34" s="232"/>
      <c r="B34" s="65"/>
      <c r="C34" s="164" t="str">
        <f>Translation!A57</f>
        <v>减少CO2排放</v>
      </c>
      <c r="D34" s="149" t="s">
        <v>109</v>
      </c>
      <c r="E34" s="326">
        <f>E108</f>
        <v>2101.7119199999997</v>
      </c>
      <c r="F34" s="100"/>
      <c r="G34" s="100"/>
      <c r="H34" s="100"/>
      <c r="I34" s="66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231"/>
    </row>
    <row r="35" spans="1:20" ht="14.25">
      <c r="A35" s="235"/>
      <c r="B35" s="109"/>
      <c r="C35" s="62"/>
      <c r="D35" s="62"/>
      <c r="E35" s="62"/>
      <c r="F35" s="62"/>
      <c r="G35" s="62"/>
      <c r="H35" s="62"/>
      <c r="I35" s="236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237"/>
    </row>
    <row r="36" s="62" customFormat="1" ht="14.25"/>
    <row r="37" spans="1:20" ht="14.25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</row>
    <row r="38" spans="1:20" ht="14.2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</row>
    <row r="39" spans="1:20" ht="14.25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</row>
    <row r="40" spans="1:20" ht="14.25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</row>
    <row r="41" spans="1:20" ht="14.25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</row>
    <row r="42" spans="1:20" ht="14.2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</row>
    <row r="43" spans="1:20" ht="14.25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</row>
    <row r="44" spans="1:20" ht="14.25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</row>
    <row r="45" spans="1:20" ht="14.25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</row>
    <row r="46" spans="1:20" ht="14.25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</row>
    <row r="47" spans="1:20" ht="14.25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</row>
    <row r="48" ht="14.25" hidden="1"/>
    <row r="49" ht="14.25" hidden="1"/>
    <row r="50" s="13" customFormat="1" ht="12" hidden="1">
      <c r="C50" s="13" t="s">
        <v>26</v>
      </c>
    </row>
    <row r="51" spans="1:5" s="13" customFormat="1" ht="12" hidden="1">
      <c r="A51" s="13">
        <v>1</v>
      </c>
      <c r="C51" s="13" t="s">
        <v>27</v>
      </c>
      <c r="E51" s="13" t="s">
        <v>37</v>
      </c>
    </row>
    <row r="52" spans="3:5" s="13" customFormat="1" ht="12" hidden="1">
      <c r="C52" s="13" t="s">
        <v>28</v>
      </c>
      <c r="E52" s="13" t="s">
        <v>29</v>
      </c>
    </row>
    <row r="53" spans="1:5" s="13" customFormat="1" ht="12" hidden="1">
      <c r="A53" s="13">
        <v>2</v>
      </c>
      <c r="C53" s="13" t="s">
        <v>25</v>
      </c>
      <c r="E53" s="13" t="s">
        <v>30</v>
      </c>
    </row>
    <row r="54" spans="1:6" s="13" customFormat="1" ht="12" hidden="1">
      <c r="A54" s="13">
        <v>3</v>
      </c>
      <c r="C54" s="13" t="s">
        <v>31</v>
      </c>
      <c r="E54" s="13" t="s">
        <v>32</v>
      </c>
      <c r="F54" s="13" t="s">
        <v>33</v>
      </c>
    </row>
    <row r="55" spans="1:5" s="13" customFormat="1" ht="12" hidden="1">
      <c r="A55" s="13">
        <v>4</v>
      </c>
      <c r="C55" s="13" t="s">
        <v>34</v>
      </c>
      <c r="E55" s="13" t="s">
        <v>38</v>
      </c>
    </row>
    <row r="56" spans="1:5" s="13" customFormat="1" ht="12" hidden="1">
      <c r="A56" s="13">
        <v>5</v>
      </c>
      <c r="C56" s="13" t="s">
        <v>35</v>
      </c>
      <c r="E56" s="13" t="s">
        <v>70</v>
      </c>
    </row>
    <row r="57" ht="18" hidden="1">
      <c r="C57" s="80" t="s">
        <v>71</v>
      </c>
    </row>
    <row r="58" spans="3:7" ht="15" hidden="1">
      <c r="C58" s="69" t="s">
        <v>72</v>
      </c>
      <c r="D58" s="70"/>
      <c r="E58" s="84"/>
      <c r="F58" s="85"/>
      <c r="G58" s="85"/>
    </row>
    <row r="59" spans="3:9" ht="15" hidden="1">
      <c r="C59" s="75" t="s">
        <v>45</v>
      </c>
      <c r="D59" s="76"/>
      <c r="E59" s="90">
        <f>E60/E63*(Input!G18/Input!G19)</f>
        <v>0.18679950186799502</v>
      </c>
      <c r="F59" s="76" t="s">
        <v>39</v>
      </c>
      <c r="G59" s="77">
        <f>E59*12</f>
        <v>2.2415940224159403</v>
      </c>
      <c r="H59" s="58" t="s">
        <v>40</v>
      </c>
      <c r="I59" s="13" t="s">
        <v>52</v>
      </c>
    </row>
    <row r="60" spans="3:7" ht="15" hidden="1">
      <c r="C60" s="75" t="s">
        <v>83</v>
      </c>
      <c r="D60" s="76"/>
      <c r="E60" s="76">
        <f>E61+E62</f>
        <v>12</v>
      </c>
      <c r="F60" s="76"/>
      <c r="G60" s="76"/>
    </row>
    <row r="61" spans="3:16" ht="14.25" hidden="1">
      <c r="C61" s="76" t="s">
        <v>41</v>
      </c>
      <c r="D61" s="76"/>
      <c r="E61" s="76">
        <f>Input!G21</f>
        <v>12</v>
      </c>
      <c r="H61" s="91" t="s">
        <v>26</v>
      </c>
      <c r="I61" s="13"/>
      <c r="J61" s="13"/>
      <c r="K61" s="13"/>
      <c r="L61" s="13"/>
      <c r="M61" s="13"/>
      <c r="N61" s="13"/>
      <c r="O61" s="13"/>
      <c r="P61" s="13"/>
    </row>
    <row r="62" spans="3:16" ht="14.25" hidden="1">
      <c r="C62" s="76" t="s">
        <v>42</v>
      </c>
      <c r="D62" s="76"/>
      <c r="E62" s="76">
        <v>0</v>
      </c>
      <c r="G62" s="58">
        <v>1</v>
      </c>
      <c r="H62" s="13" t="s">
        <v>47</v>
      </c>
      <c r="I62" s="13"/>
      <c r="J62" s="13"/>
      <c r="K62" s="13"/>
      <c r="L62" s="13"/>
      <c r="M62" s="13"/>
      <c r="N62" s="13"/>
      <c r="O62" s="13"/>
      <c r="P62" s="13"/>
    </row>
    <row r="63" spans="3:16" ht="15" hidden="1">
      <c r="C63" s="75" t="s">
        <v>43</v>
      </c>
      <c r="D63" s="76"/>
      <c r="E63" s="75">
        <f>E64+E67+E68</f>
        <v>146</v>
      </c>
      <c r="G63" s="58">
        <v>2</v>
      </c>
      <c r="H63" s="13" t="s">
        <v>54</v>
      </c>
      <c r="I63" s="13"/>
      <c r="J63" s="13"/>
      <c r="K63" s="13"/>
      <c r="L63" s="13"/>
      <c r="M63" s="13"/>
      <c r="N63" s="13"/>
      <c r="O63" s="13"/>
      <c r="P63" s="13"/>
    </row>
    <row r="64" spans="3:16" ht="14.25" hidden="1">
      <c r="C64" s="78" t="s">
        <v>53</v>
      </c>
      <c r="D64" s="76"/>
      <c r="E64" s="76">
        <f>E66-E65</f>
        <v>-4</v>
      </c>
      <c r="H64" s="81" t="s">
        <v>55</v>
      </c>
      <c r="I64" s="13" t="s">
        <v>56</v>
      </c>
      <c r="J64" s="13"/>
      <c r="K64" s="13"/>
      <c r="L64" s="13"/>
      <c r="M64" s="13"/>
      <c r="N64" s="13"/>
      <c r="O64" s="13" t="s">
        <v>59</v>
      </c>
      <c r="P64" s="13"/>
    </row>
    <row r="65" spans="3:16" ht="14.25" hidden="1">
      <c r="C65" s="46" t="s">
        <v>51</v>
      </c>
      <c r="D65" s="76"/>
      <c r="E65" s="76">
        <f>1*Input!G21</f>
        <v>12</v>
      </c>
      <c r="H65" s="82" t="s">
        <v>58</v>
      </c>
      <c r="I65" s="13" t="s">
        <v>61</v>
      </c>
      <c r="J65" s="13"/>
      <c r="K65" s="13"/>
      <c r="L65" s="13"/>
      <c r="M65" s="13"/>
      <c r="N65" s="13"/>
      <c r="O65" s="13"/>
      <c r="P65" s="13"/>
    </row>
    <row r="66" spans="3:16" ht="14.25" hidden="1">
      <c r="C66" s="46" t="s">
        <v>48</v>
      </c>
      <c r="D66" s="76"/>
      <c r="E66" s="76">
        <f>(ROUNDUP(Input!G18/Input!G11,0)-1)*Input!G13</f>
        <v>8</v>
      </c>
      <c r="H66" s="81" t="s">
        <v>60</v>
      </c>
      <c r="I66" s="13" t="s">
        <v>62</v>
      </c>
      <c r="J66" s="13"/>
      <c r="K66" s="13"/>
      <c r="L66" s="13"/>
      <c r="M66" s="13"/>
      <c r="N66" s="13"/>
      <c r="O66" s="13"/>
      <c r="P66" s="13"/>
    </row>
    <row r="67" spans="3:16" ht="14.25" hidden="1">
      <c r="C67" s="79" t="s">
        <v>57</v>
      </c>
      <c r="D67" s="76"/>
      <c r="E67" s="78">
        <v>0</v>
      </c>
      <c r="H67" s="83" t="s">
        <v>50</v>
      </c>
      <c r="I67" s="13" t="s">
        <v>63</v>
      </c>
      <c r="J67" s="13"/>
      <c r="K67" s="13"/>
      <c r="L67" s="13"/>
      <c r="M67" s="13"/>
      <c r="N67" s="13"/>
      <c r="O67" s="13"/>
      <c r="P67" s="13"/>
    </row>
    <row r="68" spans="3:16" ht="14.25" hidden="1">
      <c r="C68" s="78" t="s">
        <v>49</v>
      </c>
      <c r="D68" s="76"/>
      <c r="E68" s="78">
        <f>E70-E69</f>
        <v>150</v>
      </c>
      <c r="H68" s="83"/>
      <c r="I68" s="13" t="s">
        <v>64</v>
      </c>
      <c r="J68" s="13"/>
      <c r="K68" s="13"/>
      <c r="L68" s="13"/>
      <c r="M68" s="13"/>
      <c r="N68" s="13"/>
      <c r="O68" s="13"/>
      <c r="P68" s="13"/>
    </row>
    <row r="69" spans="3:16" ht="14.25" hidden="1">
      <c r="C69" s="46" t="s">
        <v>44</v>
      </c>
      <c r="D69" s="76"/>
      <c r="E69" s="76">
        <f>Input!G18*Input!G17*0.001*Input!G24</f>
        <v>30</v>
      </c>
      <c r="H69" s="81" t="s">
        <v>24</v>
      </c>
      <c r="I69" s="13" t="s">
        <v>65</v>
      </c>
      <c r="J69" s="13"/>
      <c r="K69" s="13"/>
      <c r="L69" s="13"/>
      <c r="M69" s="13"/>
      <c r="N69" s="13"/>
      <c r="O69" s="13"/>
      <c r="P69" s="13"/>
    </row>
    <row r="70" spans="3:16" ht="14.25" hidden="1">
      <c r="C70" s="46" t="s">
        <v>79</v>
      </c>
      <c r="D70" s="76"/>
      <c r="E70" s="88">
        <f>Input!G10*0.001*Input!G18*Input!G24</f>
        <v>180</v>
      </c>
      <c r="H70" s="83" t="s">
        <v>50</v>
      </c>
      <c r="I70" s="13" t="s">
        <v>66</v>
      </c>
      <c r="J70" s="13"/>
      <c r="K70" s="13"/>
      <c r="L70" s="13"/>
      <c r="M70" s="13"/>
      <c r="N70" s="13"/>
      <c r="O70" s="13"/>
      <c r="P70" s="13"/>
    </row>
    <row r="71" spans="8:16" ht="14.25" hidden="1">
      <c r="H71" s="83" t="s">
        <v>50</v>
      </c>
      <c r="I71" s="13" t="s">
        <v>69</v>
      </c>
      <c r="J71" s="13"/>
      <c r="K71" s="13"/>
      <c r="L71" s="13"/>
      <c r="M71" s="13"/>
      <c r="N71" s="13"/>
      <c r="O71" s="13"/>
      <c r="P71" s="13"/>
    </row>
    <row r="72" spans="8:17" ht="14.25" hidden="1">
      <c r="H72" s="83" t="s">
        <v>50</v>
      </c>
      <c r="I72" s="13" t="s">
        <v>67</v>
      </c>
      <c r="J72" s="13"/>
      <c r="K72" s="13"/>
      <c r="L72" s="13"/>
      <c r="M72" s="13"/>
      <c r="N72" s="13"/>
      <c r="O72" s="13"/>
      <c r="P72" s="13"/>
      <c r="Q72" s="58" t="s">
        <v>68</v>
      </c>
    </row>
    <row r="73" spans="3:16" ht="15" hidden="1">
      <c r="C73" s="69" t="s">
        <v>73</v>
      </c>
      <c r="D73" s="70"/>
      <c r="E73" s="70"/>
      <c r="F73" s="70"/>
      <c r="G73" s="70"/>
      <c r="H73" s="13"/>
      <c r="I73" s="13"/>
      <c r="J73" s="13"/>
      <c r="K73" s="13"/>
      <c r="L73" s="13"/>
      <c r="M73" s="13"/>
      <c r="N73" s="13"/>
      <c r="O73" s="13"/>
      <c r="P73" s="13"/>
    </row>
    <row r="74" spans="3:8" ht="15" hidden="1">
      <c r="C74" s="75" t="s">
        <v>45</v>
      </c>
      <c r="D74" s="76"/>
      <c r="E74" s="90">
        <f>(E75/E78)*Input!G18/Input!G19</f>
        <v>0.21156558533145275</v>
      </c>
      <c r="F74" s="76" t="s">
        <v>81</v>
      </c>
      <c r="G74" s="77">
        <f>E74*12</f>
        <v>2.538787023977433</v>
      </c>
      <c r="H74" s="58" t="s">
        <v>40</v>
      </c>
    </row>
    <row r="75" spans="3:5" ht="15" hidden="1">
      <c r="C75" s="75" t="s">
        <v>83</v>
      </c>
      <c r="E75" s="60">
        <f>SUM(E76:E77)</f>
        <v>132</v>
      </c>
    </row>
    <row r="76" spans="3:5" ht="14.25" hidden="1">
      <c r="C76" s="76" t="s">
        <v>74</v>
      </c>
      <c r="E76" s="58">
        <f>Input!G21*Input!G22</f>
        <v>132</v>
      </c>
    </row>
    <row r="77" spans="3:5" ht="14.25" hidden="1">
      <c r="C77" s="76" t="s">
        <v>42</v>
      </c>
      <c r="E77" s="58">
        <v>0</v>
      </c>
    </row>
    <row r="78" spans="3:5" ht="15" hidden="1">
      <c r="C78" s="75" t="s">
        <v>43</v>
      </c>
      <c r="E78" s="87">
        <f>E83+E79+E82</f>
        <v>1418</v>
      </c>
    </row>
    <row r="79" spans="3:8" ht="14.25" hidden="1">
      <c r="C79" s="78" t="s">
        <v>53</v>
      </c>
      <c r="E79" s="59">
        <f>E81-E80</f>
        <v>-52</v>
      </c>
      <c r="H79" s="91" t="s">
        <v>82</v>
      </c>
    </row>
    <row r="80" spans="3:5" ht="14.25" hidden="1">
      <c r="C80" s="46" t="s">
        <v>75</v>
      </c>
      <c r="E80" s="58">
        <f>Input!G21*Input!G22</f>
        <v>132</v>
      </c>
    </row>
    <row r="81" spans="3:9" ht="14.25" hidden="1">
      <c r="C81" s="331" t="s">
        <v>76</v>
      </c>
      <c r="D81" s="332"/>
      <c r="E81" s="332">
        <f>(ROUNDUP(Input!G18/Input!G11,0)-1)*Input!G14*Input!G13</f>
        <v>80</v>
      </c>
      <c r="F81" s="332"/>
      <c r="H81" s="86" t="s">
        <v>76</v>
      </c>
      <c r="I81" s="13" t="s">
        <v>77</v>
      </c>
    </row>
    <row r="82" spans="3:5" ht="14.25" hidden="1">
      <c r="C82" s="79" t="s">
        <v>57</v>
      </c>
      <c r="E82" s="59">
        <v>0</v>
      </c>
    </row>
    <row r="83" spans="3:5" ht="14.25" hidden="1">
      <c r="C83" s="78" t="s">
        <v>49</v>
      </c>
      <c r="E83" s="89">
        <f>E85-E84</f>
        <v>1470</v>
      </c>
    </row>
    <row r="84" spans="3:5" ht="14.25" hidden="1">
      <c r="C84" s="46" t="s">
        <v>78</v>
      </c>
      <c r="E84" s="87">
        <f>(Input!G17*0.001*Input!G18)*Input!G24*Input!G22</f>
        <v>330</v>
      </c>
    </row>
    <row r="85" spans="3:5" ht="14.25" hidden="1">
      <c r="C85" s="46" t="s">
        <v>80</v>
      </c>
      <c r="E85" s="87">
        <f>(Input!G10*0.001*Input!G18)*Input!G24*Input!G14</f>
        <v>1800</v>
      </c>
    </row>
    <row r="86" ht="14.25" hidden="1"/>
    <row r="87" spans="3:7" ht="15" hidden="1">
      <c r="C87" s="69" t="s">
        <v>84</v>
      </c>
      <c r="D87" s="69"/>
      <c r="E87" s="69"/>
      <c r="F87" s="69"/>
      <c r="G87" s="69"/>
    </row>
    <row r="88" spans="3:6" ht="14.25" hidden="1">
      <c r="C88" s="58" t="s">
        <v>22</v>
      </c>
      <c r="E88" s="58">
        <f>Input!G25</f>
        <v>2</v>
      </c>
      <c r="F88" s="58" t="s">
        <v>39</v>
      </c>
    </row>
    <row r="89" ht="14.25" hidden="1"/>
    <row r="90" ht="15" hidden="1">
      <c r="C90" s="60" t="s">
        <v>85</v>
      </c>
    </row>
    <row r="91" spans="3:16" ht="14.25" hidden="1">
      <c r="C91" s="59" t="s">
        <v>90</v>
      </c>
      <c r="H91" s="13" t="s">
        <v>82</v>
      </c>
      <c r="I91" s="13"/>
      <c r="J91" s="13"/>
      <c r="K91" s="13"/>
      <c r="L91" s="13"/>
      <c r="M91" s="13"/>
      <c r="N91" s="13"/>
      <c r="O91" s="13"/>
      <c r="P91" s="13"/>
    </row>
    <row r="92" spans="3:16" ht="15" hidden="1">
      <c r="C92" s="58" t="s">
        <v>86</v>
      </c>
      <c r="E92" s="60">
        <f>ROUNDUP(Input!G19*Input!G25/Input!G18,0)*Input!G22</f>
        <v>11</v>
      </c>
      <c r="H92" s="13" t="s">
        <v>105</v>
      </c>
      <c r="I92" s="83" t="s">
        <v>50</v>
      </c>
      <c r="J92" s="13" t="s">
        <v>103</v>
      </c>
      <c r="K92" s="13"/>
      <c r="L92" s="13"/>
      <c r="M92" s="13"/>
      <c r="N92" s="13"/>
      <c r="O92" s="13"/>
      <c r="P92" s="13"/>
    </row>
    <row r="93" spans="3:16" ht="15" hidden="1">
      <c r="C93" s="58" t="s">
        <v>87</v>
      </c>
      <c r="E93" s="60">
        <f>ROUNDUP(Input!G12*Input!G25/Input!G11,0)*Input!G14</f>
        <v>30</v>
      </c>
      <c r="H93" s="13"/>
      <c r="I93" s="13"/>
      <c r="J93" s="13" t="s">
        <v>104</v>
      </c>
      <c r="K93" s="13"/>
      <c r="L93" s="13"/>
      <c r="M93" s="13"/>
      <c r="N93" s="13"/>
      <c r="O93" s="13"/>
      <c r="P93" s="13"/>
    </row>
    <row r="94" spans="3:5" ht="15" hidden="1">
      <c r="C94" s="58" t="s">
        <v>88</v>
      </c>
      <c r="E94" s="60">
        <f>E92*Input!G21</f>
        <v>132</v>
      </c>
    </row>
    <row r="95" spans="3:8" ht="15" hidden="1">
      <c r="C95" s="58" t="s">
        <v>93</v>
      </c>
      <c r="E95" s="60">
        <f>(E93-1*Input!G14)*Input!G13</f>
        <v>80</v>
      </c>
      <c r="H95" s="58" t="s">
        <v>106</v>
      </c>
    </row>
    <row r="96" spans="3:5" ht="14.25" hidden="1">
      <c r="C96" s="58" t="s">
        <v>89</v>
      </c>
      <c r="E96" s="58">
        <v>0</v>
      </c>
    </row>
    <row r="97" ht="14.25" hidden="1"/>
    <row r="98" ht="14.25" hidden="1">
      <c r="C98" s="59" t="s">
        <v>97</v>
      </c>
    </row>
    <row r="99" spans="3:8" ht="14.25" hidden="1">
      <c r="C99" s="58" t="s">
        <v>92</v>
      </c>
      <c r="D99" s="58" t="s">
        <v>96</v>
      </c>
      <c r="E99" s="87">
        <f>Input!G17*0.001*(Input!G19*Input!G25)*Input!G22</f>
        <v>580.8000000000001</v>
      </c>
      <c r="G99" s="96"/>
      <c r="H99" s="97" t="s">
        <v>107</v>
      </c>
    </row>
    <row r="100" spans="3:9" ht="15" hidden="1">
      <c r="C100" s="58" t="s">
        <v>94</v>
      </c>
      <c r="D100" s="58" t="s">
        <v>95</v>
      </c>
      <c r="E100" s="98">
        <f>E99*Input!G24</f>
        <v>290.40000000000003</v>
      </c>
      <c r="I100" s="58" t="s">
        <v>108</v>
      </c>
    </row>
    <row r="101" ht="14.25" hidden="1"/>
    <row r="102" spans="3:5" ht="14.25" hidden="1">
      <c r="C102" s="58" t="s">
        <v>91</v>
      </c>
      <c r="D102" s="58" t="s">
        <v>96</v>
      </c>
      <c r="E102" s="58">
        <f>Input!G10*0.001*Input!G12*Input!G14*Input!G25</f>
        <v>3168</v>
      </c>
    </row>
    <row r="103" spans="3:5" ht="15" hidden="1">
      <c r="C103" s="58" t="s">
        <v>94</v>
      </c>
      <c r="D103" s="58" t="s">
        <v>95</v>
      </c>
      <c r="E103" s="60">
        <f>E102*Input!G24</f>
        <v>1584</v>
      </c>
    </row>
    <row r="104" ht="14.25" hidden="1"/>
    <row r="105" ht="14.25" hidden="1">
      <c r="C105" s="59" t="s">
        <v>98</v>
      </c>
    </row>
    <row r="106" spans="3:5" ht="14.25" hidden="1">
      <c r="C106" s="58" t="s">
        <v>99</v>
      </c>
      <c r="D106" s="58" t="s">
        <v>100</v>
      </c>
      <c r="E106" s="58">
        <v>0.81235</v>
      </c>
    </row>
    <row r="107" spans="3:5" ht="14.25" hidden="1">
      <c r="C107" s="58" t="s">
        <v>23</v>
      </c>
      <c r="D107" s="58" t="s">
        <v>96</v>
      </c>
      <c r="E107" s="87">
        <f>E102-E99</f>
        <v>2587.2</v>
      </c>
    </row>
    <row r="108" spans="3:5" ht="14.25" hidden="1">
      <c r="C108" s="58" t="s">
        <v>102</v>
      </c>
      <c r="D108" s="58" t="s">
        <v>101</v>
      </c>
      <c r="E108" s="95">
        <f>E107*E106</f>
        <v>2101.7119199999997</v>
      </c>
    </row>
    <row r="109" ht="14.25" hidden="1"/>
    <row r="110" ht="14.25" hidden="1"/>
  </sheetData>
  <sheetProtection password="DDC2" sheet="1"/>
  <mergeCells count="7">
    <mergeCell ref="E21:F21"/>
    <mergeCell ref="I21:J21"/>
    <mergeCell ref="M17:N17"/>
    <mergeCell ref="J11:K11"/>
    <mergeCell ref="J12:K12"/>
    <mergeCell ref="D11:E11"/>
    <mergeCell ref="D12:E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1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3:O145"/>
  <sheetViews>
    <sheetView showGridLines="0" showRowColHeaders="0" zoomScalePageLayoutView="0" workbookViewId="0" topLeftCell="A1">
      <selection activeCell="H18" sqref="H18"/>
    </sheetView>
  </sheetViews>
  <sheetFormatPr defaultColWidth="9.00390625" defaultRowHeight="14.25"/>
  <cols>
    <col min="1" max="1" width="2.25390625" style="13" customWidth="1"/>
    <col min="2" max="2" width="4.00390625" style="13" customWidth="1"/>
    <col min="3" max="3" width="10.00390625" style="257" customWidth="1"/>
    <col min="4" max="6" width="14.25390625" style="13" customWidth="1"/>
    <col min="7" max="7" width="11.00390625" style="13" bestFit="1" customWidth="1"/>
    <col min="8" max="10" width="13.875" style="13" customWidth="1"/>
    <col min="11" max="11" width="17.125" style="258" customWidth="1"/>
    <col min="12" max="12" width="19.75390625" style="259" customWidth="1"/>
    <col min="13" max="13" width="19.75390625" style="310" customWidth="1"/>
    <col min="14" max="16384" width="9.00390625" style="13" customWidth="1"/>
  </cols>
  <sheetData>
    <row r="1" ht="90.75" customHeight="1"/>
    <row r="2" ht="12"/>
    <row r="3" spans="2:15" ht="20.25">
      <c r="B3" s="47" t="str">
        <f>Translation!A61</f>
        <v>现金流比较数据表</v>
      </c>
      <c r="C3" s="260"/>
      <c r="D3" s="261"/>
      <c r="E3" s="262"/>
      <c r="F3" s="262"/>
      <c r="G3" s="262"/>
      <c r="H3" s="263"/>
      <c r="I3" s="261"/>
      <c r="J3" s="262"/>
      <c r="K3" s="264"/>
      <c r="L3" s="265"/>
      <c r="M3" s="311"/>
      <c r="N3" s="266"/>
      <c r="O3" s="267"/>
    </row>
    <row r="4" spans="3:5" ht="12" hidden="1">
      <c r="C4" s="267"/>
      <c r="D4" s="13" t="s">
        <v>22</v>
      </c>
      <c r="E4" s="13">
        <f>Input!G25</f>
        <v>2</v>
      </c>
    </row>
    <row r="5" spans="3:6" ht="12" hidden="1">
      <c r="C5" s="267"/>
      <c r="D5" s="82" t="s">
        <v>110</v>
      </c>
      <c r="F5" s="82" t="s">
        <v>116</v>
      </c>
    </row>
    <row r="6" spans="3:7" ht="12" hidden="1">
      <c r="C6" s="267"/>
      <c r="D6" s="13" t="str">
        <f>Input!E22</f>
        <v>一次性更换使用的新灯泡（管）数量</v>
      </c>
      <c r="E6" s="13">
        <f>Input!G22</f>
        <v>11</v>
      </c>
      <c r="F6" s="13" t="str">
        <f>Input!E14</f>
        <v>一次性更换的现有灯泡（管）数量</v>
      </c>
      <c r="G6" s="13">
        <f>Input!G14</f>
        <v>10</v>
      </c>
    </row>
    <row r="7" spans="3:7" ht="12" hidden="1">
      <c r="C7" s="267"/>
      <c r="D7" s="13" t="str">
        <f>Input!E17</f>
        <v>功率</v>
      </c>
      <c r="E7" s="13">
        <f>Input!G17</f>
        <v>10</v>
      </c>
      <c r="F7" s="13" t="str">
        <f>Input!E10</f>
        <v>功率</v>
      </c>
      <c r="G7" s="13">
        <f>Input!G10</f>
        <v>60</v>
      </c>
    </row>
    <row r="8" spans="3:7" ht="12" hidden="1">
      <c r="C8" s="267"/>
      <c r="D8" s="13" t="str">
        <f>Input!E18</f>
        <v>灯泡（管）寿命</v>
      </c>
      <c r="E8" s="13">
        <f>Input!G18</f>
        <v>6000</v>
      </c>
      <c r="F8" s="13" t="str">
        <f>Input!E11</f>
        <v>灯泡（管）寿命</v>
      </c>
      <c r="G8" s="13">
        <f>Input!G11</f>
        <v>2000</v>
      </c>
    </row>
    <row r="9" spans="3:7" ht="12" hidden="1">
      <c r="C9" s="267"/>
      <c r="D9" s="13" t="str">
        <f>Input!E19</f>
        <v>每年使用照明灯具时间</v>
      </c>
      <c r="E9" s="13">
        <f>Input!G19</f>
        <v>2640</v>
      </c>
      <c r="F9" s="13" t="str">
        <f>Input!E12</f>
        <v>每年使用照明灯具时间</v>
      </c>
      <c r="G9" s="13">
        <f>Input!G12</f>
        <v>2640</v>
      </c>
    </row>
    <row r="10" spans="3:5" ht="12" hidden="1">
      <c r="C10" s="267"/>
      <c r="D10" s="13" t="s">
        <v>74</v>
      </c>
      <c r="E10" s="13">
        <f>E6*Input!G21</f>
        <v>132</v>
      </c>
    </row>
    <row r="11" spans="3:7" ht="12" hidden="1">
      <c r="C11" s="267"/>
      <c r="D11" s="13" t="str">
        <f>Input!E21</f>
        <v>灯泡单价</v>
      </c>
      <c r="E11" s="13">
        <f>Input!G21</f>
        <v>12</v>
      </c>
      <c r="F11" s="13" t="str">
        <f>Input!E13</f>
        <v>灯泡单价</v>
      </c>
      <c r="G11" s="13">
        <f>Input!G13</f>
        <v>4</v>
      </c>
    </row>
    <row r="12" spans="3:4" ht="12" hidden="1">
      <c r="C12" s="267"/>
      <c r="D12" s="13" t="s">
        <v>112</v>
      </c>
    </row>
    <row r="13" spans="3:4" ht="12" hidden="1">
      <c r="C13" s="267"/>
      <c r="D13" s="268" t="s">
        <v>113</v>
      </c>
    </row>
    <row r="14" spans="2:3" ht="12" hidden="1">
      <c r="B14" s="13" t="s">
        <v>115</v>
      </c>
      <c r="C14" s="267"/>
    </row>
    <row r="15" spans="2:3" ht="12" hidden="1">
      <c r="B15" s="13" t="s">
        <v>114</v>
      </c>
      <c r="C15" s="267"/>
    </row>
    <row r="16" ht="12">
      <c r="C16" s="267"/>
    </row>
    <row r="17" ht="12">
      <c r="C17" s="267"/>
    </row>
    <row r="18" spans="2:14" ht="41.25" customHeight="1">
      <c r="B18" s="257"/>
      <c r="C18" s="267"/>
      <c r="N18" s="13" t="s">
        <v>230</v>
      </c>
    </row>
    <row r="19" spans="2:14" s="58" customFormat="1" ht="18.75" customHeight="1">
      <c r="B19" s="367" t="str">
        <f>Translation!A63</f>
        <v>月</v>
      </c>
      <c r="C19" s="364" t="str">
        <f>Translation!A64</f>
        <v>新灯泡（管）费用</v>
      </c>
      <c r="D19" s="365"/>
      <c r="E19" s="365"/>
      <c r="F19" s="366"/>
      <c r="G19" s="287"/>
      <c r="H19" s="283" t="str">
        <f>Translation!A65</f>
        <v>现有灯泡（管）费用</v>
      </c>
      <c r="I19" s="283"/>
      <c r="J19" s="295"/>
      <c r="K19" s="370" t="str">
        <f>Translation!A71</f>
        <v>每月节约费用</v>
      </c>
      <c r="L19" s="372" t="str">
        <f>Translation!A72</f>
        <v>累积节约费用</v>
      </c>
      <c r="M19" s="312"/>
      <c r="N19" s="103" t="s">
        <v>225</v>
      </c>
    </row>
    <row r="20" spans="2:14" s="309" customFormat="1" ht="30.75" customHeight="1">
      <c r="B20" s="368"/>
      <c r="C20" s="374" t="str">
        <f>Translation!A66</f>
        <v>期内每置换点所需更换的灯泡（管）数量</v>
      </c>
      <c r="D20" s="305" t="str">
        <f>Translation!A67</f>
        <v>灯泡（管）购置费用</v>
      </c>
      <c r="E20" s="305" t="str">
        <f>Translation!A68</f>
        <v>能源费用</v>
      </c>
      <c r="F20" s="306" t="str">
        <f>Translation!A69</f>
        <v>新灯泡（管）费用支出总计</v>
      </c>
      <c r="G20" s="376" t="str">
        <f>Translation!A66</f>
        <v>期内每置换点所需更换的灯泡（管）数量</v>
      </c>
      <c r="H20" s="307" t="str">
        <f>Translation!A66</f>
        <v>期内每置换点所需更换的灯泡（管）数量</v>
      </c>
      <c r="I20" s="307" t="str">
        <f>Translation!A68</f>
        <v>能源费用</v>
      </c>
      <c r="J20" s="308" t="str">
        <f>Translation!A70</f>
        <v>现有灯泡（管）费用支出总计</v>
      </c>
      <c r="K20" s="371"/>
      <c r="L20" s="373"/>
      <c r="M20" s="312"/>
      <c r="N20" s="309" t="s">
        <v>231</v>
      </c>
    </row>
    <row r="21" spans="2:13" s="282" customFormat="1" ht="15" customHeight="1" thickBot="1">
      <c r="B21" s="369"/>
      <c r="C21" s="375"/>
      <c r="D21" s="281" t="str">
        <f>Input!$E$33</f>
        <v>￥</v>
      </c>
      <c r="E21" s="281" t="str">
        <f>Input!$E$33</f>
        <v>￥</v>
      </c>
      <c r="F21" s="290" t="str">
        <f>Input!$E$33</f>
        <v>￥</v>
      </c>
      <c r="G21" s="377"/>
      <c r="H21" s="284" t="str">
        <f>Input!$E$33</f>
        <v>￥</v>
      </c>
      <c r="I21" s="284" t="str">
        <f>Input!$E$33</f>
        <v>￥</v>
      </c>
      <c r="J21" s="296" t="str">
        <f>Input!$E$33</f>
        <v>￥</v>
      </c>
      <c r="K21" s="297" t="str">
        <f>Input!$E$33</f>
        <v>￥</v>
      </c>
      <c r="L21" s="300" t="str">
        <f>Input!$E$33</f>
        <v>￥</v>
      </c>
      <c r="M21" s="313"/>
    </row>
    <row r="22" spans="2:15" ht="12">
      <c r="B22" s="301">
        <v>0</v>
      </c>
      <c r="C22" s="291">
        <v>1</v>
      </c>
      <c r="D22" s="279">
        <f>-E10</f>
        <v>-132</v>
      </c>
      <c r="E22" s="280" t="s">
        <v>111</v>
      </c>
      <c r="F22" s="292">
        <f>SUM(D22:E22)</f>
        <v>-132</v>
      </c>
      <c r="G22" s="288">
        <v>1</v>
      </c>
      <c r="H22" s="279">
        <v>0</v>
      </c>
      <c r="I22" s="279">
        <v>0</v>
      </c>
      <c r="J22" s="285">
        <v>0</v>
      </c>
      <c r="K22" s="298">
        <f>F22</f>
        <v>-132</v>
      </c>
      <c r="L22" s="302">
        <f>K22</f>
        <v>-132</v>
      </c>
      <c r="M22" s="314"/>
      <c r="N22" s="13" t="s">
        <v>122</v>
      </c>
      <c r="O22" s="13">
        <f>E4*12+1</f>
        <v>25</v>
      </c>
    </row>
    <row r="23" spans="2:15" ht="12">
      <c r="B23" s="303">
        <f aca="true" t="shared" si="0" ref="B23:B34">IF(B22&lt;$E$4*12,B22+1,"")</f>
        <v>1</v>
      </c>
      <c r="C23" s="293">
        <f>IF(B23&lt;=$E$4*12,(IF(($E$9/12)*B23/($E$8*C22)&gt;=1,C22+1,C22)),"")</f>
        <v>1</v>
      </c>
      <c r="D23" s="278">
        <f>IF(B23&lt;=$E$4*12,(IF(C23=C22,0,-Input!$G$21*Input!$G$22)),"")</f>
        <v>0</v>
      </c>
      <c r="E23" s="278">
        <f>IF(B23&lt;=12*'Cash Flow Data'!$E$4,-($E$9/12)*($E$7*0.001)*$E$6*Input!$G$24,"")</f>
        <v>-12.100000000000001</v>
      </c>
      <c r="F23" s="294">
        <f>IF(B23&lt;=$E$4*12,SUM(D23:E23),"")</f>
        <v>-12.100000000000001</v>
      </c>
      <c r="G23" s="289">
        <f>IF(B23&lt;=$E$4*12,(IF((($G$9/12)*$B23)/($G$8*G22)&gt;=1,G22+1,G22)),"")</f>
        <v>1</v>
      </c>
      <c r="H23" s="278">
        <f>IF($B23&lt;=$E$4*12,(IF(G23=G22,0,-Input!$G$13*Input!$G$14)),"")</f>
        <v>0</v>
      </c>
      <c r="I23" s="278">
        <f>IF(B23&lt;=$E$4*12,(-($G$7*0.001)*($G$9/12)*Input!$G$24*$G$6),"")</f>
        <v>-66</v>
      </c>
      <c r="J23" s="286">
        <f>IF(B23&lt;=$E$4*12,SUM(H23:I23),"")</f>
        <v>-66</v>
      </c>
      <c r="K23" s="299">
        <f aca="true" t="shared" si="1" ref="K23:K39">IF(B23&lt;=$E$4*12,F23-J23,"")</f>
        <v>53.9</v>
      </c>
      <c r="L23" s="304">
        <f>IF(B23&lt;=$E$4*12,K23+L22,"")</f>
        <v>-78.1</v>
      </c>
      <c r="M23" s="314"/>
      <c r="N23" s="82" t="s">
        <v>0</v>
      </c>
      <c r="O23" s="13" t="s">
        <v>124</v>
      </c>
    </row>
    <row r="24" spans="2:14" ht="12">
      <c r="B24" s="303">
        <f t="shared" si="0"/>
        <v>2</v>
      </c>
      <c r="C24" s="293">
        <f aca="true" t="shared" si="2" ref="C24:C87">IF(B24&lt;=$E$4*12,(IF(($E$9/12)*B24/($E$8*C23)&gt;=1,C23+1,C23)),"")</f>
        <v>1</v>
      </c>
      <c r="D24" s="278">
        <f>IF(B24&lt;=$E$4*12,(IF(C24=C23,0,-Input!$G$21*Input!$G$22)),"")</f>
        <v>0</v>
      </c>
      <c r="E24" s="278">
        <f>IF(B24&lt;=12*'Cash Flow Data'!$E$4,-($E$9/12)*($E$7*0.001)*$E$6*Input!$G$24,"")</f>
        <v>-12.100000000000001</v>
      </c>
      <c r="F24" s="294">
        <f aca="true" t="shared" si="3" ref="F24:F87">IF(B24&lt;=$E$4*12,SUM(D24:E24),"")</f>
        <v>-12.100000000000001</v>
      </c>
      <c r="G24" s="289">
        <f>IF(B24&lt;=$E$4*12,(IF((($G$9/12)*$B24)/($G$8*G23)&gt;=1,G23+1,G23)),"")</f>
        <v>1</v>
      </c>
      <c r="H24" s="278">
        <f>IF($B24&lt;=$E$4*12,(IF(G24=G23,0,-Input!$G$13*Input!$G$14)),"")</f>
        <v>0</v>
      </c>
      <c r="I24" s="278">
        <f>IF(B24&lt;=$E$4*12,(-($G$7*0.001)*($G$9/12)*Input!$G$24*$G$6),"")</f>
        <v>-66</v>
      </c>
      <c r="J24" s="286">
        <f aca="true" t="shared" si="4" ref="J24:J87">IF(B24&lt;=$E$4*12,SUM(H24:I24),"")</f>
        <v>-66</v>
      </c>
      <c r="K24" s="299">
        <f t="shared" si="1"/>
        <v>53.9</v>
      </c>
      <c r="L24" s="304">
        <f aca="true" t="shared" si="5" ref="L24:L87">IF(B24&lt;=$E$4*12,K24+L23,"")</f>
        <v>-24.199999999999996</v>
      </c>
      <c r="M24" s="314"/>
      <c r="N24" s="34" t="s">
        <v>3</v>
      </c>
    </row>
    <row r="25" spans="2:14" ht="12">
      <c r="B25" s="303">
        <f t="shared" si="0"/>
        <v>3</v>
      </c>
      <c r="C25" s="293">
        <f t="shared" si="2"/>
        <v>1</v>
      </c>
      <c r="D25" s="278">
        <f>IF(B25&lt;=$E$4*12,(IF(C25=C24,0,-Input!$G$21*Input!$G$22)),"")</f>
        <v>0</v>
      </c>
      <c r="E25" s="278">
        <f>IF(B25&lt;=12*'Cash Flow Data'!$E$4,-($E$9/12)*($E$7*0.001)*$E$6*Input!$G$24,"")</f>
        <v>-12.100000000000001</v>
      </c>
      <c r="F25" s="294">
        <f t="shared" si="3"/>
        <v>-12.100000000000001</v>
      </c>
      <c r="G25" s="289">
        <f>IF(B25&lt;=$E$4*12,(IF((($G$9/12)*$B25)/($G$8*G24)&gt;=1,G24+1,G24)),"")</f>
        <v>1</v>
      </c>
      <c r="H25" s="278">
        <f>IF($B25&lt;=$E$4*12,(IF(G25=G24,0,-Input!$G$13*Input!$G$14)),"")</f>
        <v>0</v>
      </c>
      <c r="I25" s="278">
        <f>IF(B25&lt;=$E$4*12,(-($G$7*0.001)*($G$9/12)*Input!$G$24*$G$6),"")</f>
        <v>-66</v>
      </c>
      <c r="J25" s="286">
        <f t="shared" si="4"/>
        <v>-66</v>
      </c>
      <c r="K25" s="299">
        <f t="shared" si="1"/>
        <v>53.9</v>
      </c>
      <c r="L25" s="304">
        <f t="shared" si="5"/>
        <v>29.700000000000003</v>
      </c>
      <c r="M25" s="314"/>
      <c r="N25" s="34" t="s">
        <v>2</v>
      </c>
    </row>
    <row r="26" spans="2:14" ht="12">
      <c r="B26" s="303">
        <f t="shared" si="0"/>
        <v>4</v>
      </c>
      <c r="C26" s="293">
        <f t="shared" si="2"/>
        <v>1</v>
      </c>
      <c r="D26" s="278">
        <f>IF(B26&lt;=$E$4*12,(IF(C26=C25,0,-Input!$G$21*Input!$G$22)),"")</f>
        <v>0</v>
      </c>
      <c r="E26" s="278">
        <f>IF(B26&lt;=12*'Cash Flow Data'!$E$4,-($E$9/12)*($E$7*0.001)*$E$6*Input!$G$24,"")</f>
        <v>-12.100000000000001</v>
      </c>
      <c r="F26" s="294">
        <f t="shared" si="3"/>
        <v>-12.100000000000001</v>
      </c>
      <c r="G26" s="289">
        <f aca="true" t="shared" si="6" ref="G26:G89">IF(B26&lt;=$E$4*12,(IF((($G$9/12)*$B26)/($G$8*G25)&gt;=1,G25+1,G25)),"")</f>
        <v>1</v>
      </c>
      <c r="H26" s="278">
        <f>IF($B26&lt;=$E$4*12,(IF(G26=G25,0,-Input!$G$13*Input!$G$14)),"")</f>
        <v>0</v>
      </c>
      <c r="I26" s="278">
        <f>IF(B26&lt;=$E$4*12,(-($G$7*0.001)*($G$9/12)*Input!$G$24*$G$6),"")</f>
        <v>-66</v>
      </c>
      <c r="J26" s="286">
        <f t="shared" si="4"/>
        <v>-66</v>
      </c>
      <c r="K26" s="299">
        <f t="shared" si="1"/>
        <v>53.9</v>
      </c>
      <c r="L26" s="304">
        <f t="shared" si="5"/>
        <v>83.6</v>
      </c>
      <c r="M26" s="314"/>
      <c r="N26" s="34" t="s">
        <v>1</v>
      </c>
    </row>
    <row r="27" spans="2:14" ht="12">
      <c r="B27" s="303">
        <f t="shared" si="0"/>
        <v>5</v>
      </c>
      <c r="C27" s="293">
        <f t="shared" si="2"/>
        <v>1</v>
      </c>
      <c r="D27" s="278">
        <f>IF(B27&lt;=$E$4*12,(IF(C27=C26,0,-Input!$G$21*Input!$G$22)),"")</f>
        <v>0</v>
      </c>
      <c r="E27" s="278">
        <f>IF(B27&lt;=12*'Cash Flow Data'!$E$4,-($E$9/12)*($E$7*0.001)*$E$6*Input!$G$24,"")</f>
        <v>-12.100000000000001</v>
      </c>
      <c r="F27" s="294">
        <f t="shared" si="3"/>
        <v>-12.100000000000001</v>
      </c>
      <c r="G27" s="289">
        <f t="shared" si="6"/>
        <v>1</v>
      </c>
      <c r="H27" s="278">
        <f>IF($B27&lt;=$E$4*12,(IF(G27=G26,0,-Input!$G$13*Input!$G$14)),"")</f>
        <v>0</v>
      </c>
      <c r="I27" s="278">
        <f>IF(B27&lt;=$E$4*12,(-($G$7*0.001)*($G$9/12)*Input!$G$24*$G$6),"")</f>
        <v>-66</v>
      </c>
      <c r="J27" s="286">
        <f t="shared" si="4"/>
        <v>-66</v>
      </c>
      <c r="K27" s="299">
        <f t="shared" si="1"/>
        <v>53.9</v>
      </c>
      <c r="L27" s="304">
        <f t="shared" si="5"/>
        <v>137.5</v>
      </c>
      <c r="M27" s="314"/>
      <c r="N27" s="82" t="s">
        <v>123</v>
      </c>
    </row>
    <row r="28" spans="2:13" ht="12">
      <c r="B28" s="303">
        <f t="shared" si="0"/>
        <v>6</v>
      </c>
      <c r="C28" s="293">
        <f t="shared" si="2"/>
        <v>1</v>
      </c>
      <c r="D28" s="278">
        <f>IF(B28&lt;=$E$4*12,(IF(C28=C27,0,-Input!$G$21*Input!$G$22)),"")</f>
        <v>0</v>
      </c>
      <c r="E28" s="278">
        <f>IF(B28&lt;=12*'Cash Flow Data'!$E$4,-($E$9/12)*($E$7*0.001)*$E$6*Input!$G$24,"")</f>
        <v>-12.100000000000001</v>
      </c>
      <c r="F28" s="294">
        <f t="shared" si="3"/>
        <v>-12.100000000000001</v>
      </c>
      <c r="G28" s="289">
        <f t="shared" si="6"/>
        <v>1</v>
      </c>
      <c r="H28" s="278">
        <f>IF($B28&lt;=$E$4*12,(IF(G28=G27,0,-Input!$G$13*Input!$G$14)),"")</f>
        <v>0</v>
      </c>
      <c r="I28" s="278">
        <f>IF(B28&lt;=$E$4*12,(-($G$7*0.001)*($G$9/12)*Input!$G$24*$G$6),"")</f>
        <v>-66</v>
      </c>
      <c r="J28" s="286">
        <f t="shared" si="4"/>
        <v>-66</v>
      </c>
      <c r="K28" s="299">
        <f t="shared" si="1"/>
        <v>53.9</v>
      </c>
      <c r="L28" s="304">
        <f t="shared" si="5"/>
        <v>191.4</v>
      </c>
      <c r="M28" s="314"/>
    </row>
    <row r="29" spans="2:13" ht="12">
      <c r="B29" s="303">
        <f t="shared" si="0"/>
        <v>7</v>
      </c>
      <c r="C29" s="293">
        <f t="shared" si="2"/>
        <v>1</v>
      </c>
      <c r="D29" s="278">
        <f>IF(B29&lt;=$E$4*12,(IF(C29=C28,0,-Input!$G$21*Input!$G$22)),"")</f>
        <v>0</v>
      </c>
      <c r="E29" s="278">
        <f>IF(B29&lt;=12*'Cash Flow Data'!$E$4,-($E$9/12)*($E$7*0.001)*$E$6*Input!$G$24,"")</f>
        <v>-12.100000000000001</v>
      </c>
      <c r="F29" s="294">
        <f t="shared" si="3"/>
        <v>-12.100000000000001</v>
      </c>
      <c r="G29" s="289">
        <f t="shared" si="6"/>
        <v>1</v>
      </c>
      <c r="H29" s="278">
        <f>IF($B29&lt;=$E$4*12,(IF(G29=G28,0,-Input!$G$13*Input!$G$14)),"")</f>
        <v>0</v>
      </c>
      <c r="I29" s="278">
        <f>IF(B29&lt;=$E$4*12,(-($G$7*0.001)*($G$9/12)*Input!$G$24*$G$6),"")</f>
        <v>-66</v>
      </c>
      <c r="J29" s="286">
        <f t="shared" si="4"/>
        <v>-66</v>
      </c>
      <c r="K29" s="299">
        <f t="shared" si="1"/>
        <v>53.9</v>
      </c>
      <c r="L29" s="304">
        <f t="shared" si="5"/>
        <v>245.3</v>
      </c>
      <c r="M29" s="314"/>
    </row>
    <row r="30" spans="2:14" ht="12">
      <c r="B30" s="303">
        <f t="shared" si="0"/>
        <v>8</v>
      </c>
      <c r="C30" s="293">
        <f t="shared" si="2"/>
        <v>1</v>
      </c>
      <c r="D30" s="278">
        <f>IF(B30&lt;=$E$4*12,(IF(C30=C29,0,-Input!$G$21*Input!$G$22)),"")</f>
        <v>0</v>
      </c>
      <c r="E30" s="278">
        <f>IF(B30&lt;=12*'Cash Flow Data'!$E$4,-($E$9/12)*($E$7*0.001)*$E$6*Input!$G$24,"")</f>
        <v>-12.100000000000001</v>
      </c>
      <c r="F30" s="294">
        <f t="shared" si="3"/>
        <v>-12.100000000000001</v>
      </c>
      <c r="G30" s="289">
        <f t="shared" si="6"/>
        <v>1</v>
      </c>
      <c r="H30" s="278">
        <f>IF($B30&lt;=$E$4*12,(IF(G30=G29,0,-Input!$G$13*Input!$G$14)),"")</f>
        <v>0</v>
      </c>
      <c r="I30" s="278">
        <f>IF(B30&lt;=$E$4*12,(-($G$7*0.001)*($G$9/12)*Input!$G$24*$G$6),"")</f>
        <v>-66</v>
      </c>
      <c r="J30" s="286">
        <f t="shared" si="4"/>
        <v>-66</v>
      </c>
      <c r="K30" s="299">
        <f t="shared" si="1"/>
        <v>53.9</v>
      </c>
      <c r="L30" s="304">
        <f t="shared" si="5"/>
        <v>299.2</v>
      </c>
      <c r="M30" s="314"/>
      <c r="N30" s="278">
        <f>121-COUNTBLANK(B22:B142)</f>
        <v>25</v>
      </c>
    </row>
    <row r="31" spans="2:13" ht="12">
      <c r="B31" s="303">
        <f t="shared" si="0"/>
        <v>9</v>
      </c>
      <c r="C31" s="293">
        <f t="shared" si="2"/>
        <v>1</v>
      </c>
      <c r="D31" s="278">
        <f>IF(B31&lt;=$E$4*12,(IF(C31=C30,0,-Input!$G$21*Input!$G$22)),"")</f>
        <v>0</v>
      </c>
      <c r="E31" s="278">
        <f>IF(B31&lt;=12*'Cash Flow Data'!$E$4,-($E$9/12)*($E$7*0.001)*$E$6*Input!$G$24,"")</f>
        <v>-12.100000000000001</v>
      </c>
      <c r="F31" s="294">
        <f t="shared" si="3"/>
        <v>-12.100000000000001</v>
      </c>
      <c r="G31" s="289">
        <f t="shared" si="6"/>
        <v>1</v>
      </c>
      <c r="H31" s="278">
        <f>IF($B31&lt;=$E$4*12,(IF(G31=G30,0,-Input!$G$13*Input!$G$14)),"")</f>
        <v>0</v>
      </c>
      <c r="I31" s="278">
        <f>IF(B31&lt;=$E$4*12,(-($G$7*0.001)*($G$9/12)*Input!$G$24*$G$6),"")</f>
        <v>-66</v>
      </c>
      <c r="J31" s="286">
        <f t="shared" si="4"/>
        <v>-66</v>
      </c>
      <c r="K31" s="299">
        <f t="shared" si="1"/>
        <v>53.9</v>
      </c>
      <c r="L31" s="304">
        <f t="shared" si="5"/>
        <v>353.09999999999997</v>
      </c>
      <c r="M31" s="314"/>
    </row>
    <row r="32" spans="2:13" ht="12">
      <c r="B32" s="303">
        <f t="shared" si="0"/>
        <v>10</v>
      </c>
      <c r="C32" s="293">
        <f t="shared" si="2"/>
        <v>1</v>
      </c>
      <c r="D32" s="278">
        <f>IF(B32&lt;=$E$4*12,(IF(C32=C31,0,-Input!$G$21*Input!$G$22)),"")</f>
        <v>0</v>
      </c>
      <c r="E32" s="278">
        <f>IF(B32&lt;=12*'Cash Flow Data'!$E$4,-($E$9/12)*($E$7*0.001)*$E$6*Input!$G$24,"")</f>
        <v>-12.100000000000001</v>
      </c>
      <c r="F32" s="294">
        <f t="shared" si="3"/>
        <v>-12.100000000000001</v>
      </c>
      <c r="G32" s="289">
        <f t="shared" si="6"/>
        <v>2</v>
      </c>
      <c r="H32" s="278">
        <f>IF($B32&lt;=$E$4*12,(IF(G32=G31,0,-Input!$G$13*Input!$G$14)),"")</f>
        <v>-40</v>
      </c>
      <c r="I32" s="278">
        <f>IF(B32&lt;=$E$4*12,(-($G$7*0.001)*($G$9/12)*Input!$G$24*$G$6),"")</f>
        <v>-66</v>
      </c>
      <c r="J32" s="286">
        <f t="shared" si="4"/>
        <v>-106</v>
      </c>
      <c r="K32" s="299">
        <f t="shared" si="1"/>
        <v>93.9</v>
      </c>
      <c r="L32" s="304">
        <f t="shared" si="5"/>
        <v>447</v>
      </c>
      <c r="M32" s="314"/>
    </row>
    <row r="33" spans="2:13" ht="11.25" customHeight="1">
      <c r="B33" s="303">
        <f t="shared" si="0"/>
        <v>11</v>
      </c>
      <c r="C33" s="293">
        <f t="shared" si="2"/>
        <v>1</v>
      </c>
      <c r="D33" s="278">
        <f>IF(B33&lt;=$E$4*12,(IF(C33=C32,0,-Input!$G$21*Input!$G$22)),"")</f>
        <v>0</v>
      </c>
      <c r="E33" s="278">
        <f>IF(B33&lt;=12*'Cash Flow Data'!$E$4,-($E$9/12)*($E$7*0.001)*$E$6*Input!$G$24,"")</f>
        <v>-12.100000000000001</v>
      </c>
      <c r="F33" s="294">
        <f t="shared" si="3"/>
        <v>-12.100000000000001</v>
      </c>
      <c r="G33" s="289">
        <f t="shared" si="6"/>
        <v>2</v>
      </c>
      <c r="H33" s="278">
        <f>IF($B33&lt;=$E$4*12,(IF(G33=G32,0,-Input!$G$13*Input!$G$14)),"")</f>
        <v>0</v>
      </c>
      <c r="I33" s="278">
        <f>IF(B33&lt;=$E$4*12,(-($G$7*0.001)*($G$9/12)*Input!$G$24*$G$6),"")</f>
        <v>-66</v>
      </c>
      <c r="J33" s="286">
        <f t="shared" si="4"/>
        <v>-66</v>
      </c>
      <c r="K33" s="299">
        <f t="shared" si="1"/>
        <v>53.9</v>
      </c>
      <c r="L33" s="304">
        <f t="shared" si="5"/>
        <v>500.9</v>
      </c>
      <c r="M33" s="314"/>
    </row>
    <row r="34" spans="2:13" ht="12">
      <c r="B34" s="303">
        <f t="shared" si="0"/>
        <v>12</v>
      </c>
      <c r="C34" s="293">
        <f t="shared" si="2"/>
        <v>1</v>
      </c>
      <c r="D34" s="278">
        <f>IF(B34&lt;=$E$4*12,(IF(C34=C33,0,-Input!$G$21*Input!$G$22)),"")</f>
        <v>0</v>
      </c>
      <c r="E34" s="278">
        <f>IF(B34&lt;=12*'Cash Flow Data'!$E$4,-($E$9/12)*($E$7*0.001)*$E$6*Input!$G$24,"")</f>
        <v>-12.100000000000001</v>
      </c>
      <c r="F34" s="294">
        <f t="shared" si="3"/>
        <v>-12.100000000000001</v>
      </c>
      <c r="G34" s="289">
        <f t="shared" si="6"/>
        <v>2</v>
      </c>
      <c r="H34" s="278">
        <f>IF($B34&lt;=$E$4*12,(IF(G34=G33,0,-Input!$G$13*Input!$G$14)),"")</f>
        <v>0</v>
      </c>
      <c r="I34" s="278">
        <f>IF(B34&lt;=$E$4*12,(-($G$7*0.001)*($G$9/12)*Input!$G$24*$G$6),"")</f>
        <v>-66</v>
      </c>
      <c r="J34" s="286">
        <f t="shared" si="4"/>
        <v>-66</v>
      </c>
      <c r="K34" s="299">
        <f t="shared" si="1"/>
        <v>53.9</v>
      </c>
      <c r="L34" s="304">
        <f t="shared" si="5"/>
        <v>554.8</v>
      </c>
      <c r="M34" s="314"/>
    </row>
    <row r="35" spans="2:14" ht="12">
      <c r="B35" s="303">
        <f aca="true" t="shared" si="7" ref="B35:B98">IF(B34&lt;$E$4*12,B34+1,"")</f>
        <v>13</v>
      </c>
      <c r="C35" s="293">
        <f t="shared" si="2"/>
        <v>1</v>
      </c>
      <c r="D35" s="278">
        <f>IF(B35&lt;=$E$4*12,(IF(C35=C34,0,-Input!$G$21*Input!$G$22)),"")</f>
        <v>0</v>
      </c>
      <c r="E35" s="278">
        <f>IF(B35&lt;=12*'Cash Flow Data'!$E$4,-($E$9/12)*($E$7*0.001)*$E$6*Input!$G$24,"")</f>
        <v>-12.100000000000001</v>
      </c>
      <c r="F35" s="294">
        <f t="shared" si="3"/>
        <v>-12.100000000000001</v>
      </c>
      <c r="G35" s="289">
        <f t="shared" si="6"/>
        <v>2</v>
      </c>
      <c r="H35" s="278">
        <f>IF($B35&lt;=$E$4*12,(IF(G35=G34,0,-Input!$G$13*Input!$G$14)),"")</f>
        <v>0</v>
      </c>
      <c r="I35" s="278">
        <f>IF(B35&lt;=$E$4*12,(-($G$7*0.001)*($G$9/12)*Input!$G$24*$G$6),"")</f>
        <v>-66</v>
      </c>
      <c r="J35" s="286">
        <f t="shared" si="4"/>
        <v>-66</v>
      </c>
      <c r="K35" s="299">
        <f t="shared" si="1"/>
        <v>53.9</v>
      </c>
      <c r="L35" s="304">
        <f t="shared" si="5"/>
        <v>608.6999999999999</v>
      </c>
      <c r="M35" s="314"/>
      <c r="N35" s="257"/>
    </row>
    <row r="36" spans="2:15" ht="12">
      <c r="B36" s="303">
        <f t="shared" si="7"/>
        <v>14</v>
      </c>
      <c r="C36" s="293">
        <f t="shared" si="2"/>
        <v>1</v>
      </c>
      <c r="D36" s="278">
        <f>IF(B36&lt;=$E$4*12,(IF(C36=C35,0,-Input!$G$21*Input!$G$22)),"")</f>
        <v>0</v>
      </c>
      <c r="E36" s="278">
        <f>IF(B36&lt;=12*'Cash Flow Data'!$E$4,-($E$9/12)*($E$7*0.001)*$E$6*Input!$G$24,"")</f>
        <v>-12.100000000000001</v>
      </c>
      <c r="F36" s="294">
        <f t="shared" si="3"/>
        <v>-12.100000000000001</v>
      </c>
      <c r="G36" s="289">
        <f t="shared" si="6"/>
        <v>2</v>
      </c>
      <c r="H36" s="278">
        <f>IF($B36&lt;=$E$4*12,(IF(G36=G35,0,-Input!$G$13*Input!$G$14)),"")</f>
        <v>0</v>
      </c>
      <c r="I36" s="278">
        <f>IF(B36&lt;=$E$4*12,(-($G$7*0.001)*($G$9/12)*Input!$G$24*$G$6),"")</f>
        <v>-66</v>
      </c>
      <c r="J36" s="286">
        <f t="shared" si="4"/>
        <v>-66</v>
      </c>
      <c r="K36" s="299">
        <f t="shared" si="1"/>
        <v>53.9</v>
      </c>
      <c r="L36" s="304">
        <f t="shared" si="5"/>
        <v>662.5999999999999</v>
      </c>
      <c r="M36" s="314"/>
      <c r="N36" s="257"/>
      <c r="O36" s="271"/>
    </row>
    <row r="37" spans="2:15" ht="12">
      <c r="B37" s="303">
        <f t="shared" si="7"/>
        <v>15</v>
      </c>
      <c r="C37" s="293">
        <f t="shared" si="2"/>
        <v>1</v>
      </c>
      <c r="D37" s="278">
        <f>IF(B37&lt;=$E$4*12,(IF(C37=C36,0,-Input!$G$21*Input!$G$22)),"")</f>
        <v>0</v>
      </c>
      <c r="E37" s="278">
        <f>IF(B37&lt;=12*'Cash Flow Data'!$E$4,-($E$9/12)*($E$7*0.001)*$E$6*Input!$G$24,"")</f>
        <v>-12.100000000000001</v>
      </c>
      <c r="F37" s="294">
        <f t="shared" si="3"/>
        <v>-12.100000000000001</v>
      </c>
      <c r="G37" s="289">
        <f t="shared" si="6"/>
        <v>2</v>
      </c>
      <c r="H37" s="278">
        <f>IF($B37&lt;=$E$4*12,(IF(G37=G36,0,-Input!$G$13*Input!$G$14)),"")</f>
        <v>0</v>
      </c>
      <c r="I37" s="278">
        <f>IF(B37&lt;=$E$4*12,(-($G$7*0.001)*($G$9/12)*Input!$G$24*$G$6),"")</f>
        <v>-66</v>
      </c>
      <c r="J37" s="286">
        <f t="shared" si="4"/>
        <v>-66</v>
      </c>
      <c r="K37" s="299">
        <f t="shared" si="1"/>
        <v>53.9</v>
      </c>
      <c r="L37" s="304">
        <f t="shared" si="5"/>
        <v>716.4999999999999</v>
      </c>
      <c r="M37" s="314"/>
      <c r="N37" s="257"/>
      <c r="O37" s="271"/>
    </row>
    <row r="38" spans="2:15" ht="12">
      <c r="B38" s="303">
        <f t="shared" si="7"/>
        <v>16</v>
      </c>
      <c r="C38" s="293">
        <f t="shared" si="2"/>
        <v>1</v>
      </c>
      <c r="D38" s="278">
        <f>IF(B38&lt;=$E$4*12,(IF(C38=C37,0,-Input!$G$21*Input!$G$22)),"")</f>
        <v>0</v>
      </c>
      <c r="E38" s="278">
        <f>IF(B38&lt;=12*'Cash Flow Data'!$E$4,-($E$9/12)*($E$7*0.001)*$E$6*Input!$G$24,"")</f>
        <v>-12.100000000000001</v>
      </c>
      <c r="F38" s="294">
        <f t="shared" si="3"/>
        <v>-12.100000000000001</v>
      </c>
      <c r="G38" s="289">
        <f t="shared" si="6"/>
        <v>2</v>
      </c>
      <c r="H38" s="278">
        <f>IF($B38&lt;=$E$4*12,(IF(G38=G37,0,-Input!$G$13*Input!$G$14)),"")</f>
        <v>0</v>
      </c>
      <c r="I38" s="278">
        <f>IF(B38&lt;=$E$4*12,(-($G$7*0.001)*($G$9/12)*Input!$G$24*$G$6),"")</f>
        <v>-66</v>
      </c>
      <c r="J38" s="286">
        <f t="shared" si="4"/>
        <v>-66</v>
      </c>
      <c r="K38" s="299">
        <f t="shared" si="1"/>
        <v>53.9</v>
      </c>
      <c r="L38" s="304">
        <f t="shared" si="5"/>
        <v>770.3999999999999</v>
      </c>
      <c r="M38" s="314"/>
      <c r="N38" s="272"/>
      <c r="O38" s="33"/>
    </row>
    <row r="39" spans="2:15" ht="12">
      <c r="B39" s="303">
        <f t="shared" si="7"/>
        <v>17</v>
      </c>
      <c r="C39" s="293">
        <f t="shared" si="2"/>
        <v>1</v>
      </c>
      <c r="D39" s="278">
        <f>IF(B39&lt;=$E$4*12,(IF(C39=C38,0,-Input!$G$21*Input!$G$22)),"")</f>
        <v>0</v>
      </c>
      <c r="E39" s="278">
        <f>IF(B39&lt;=12*'Cash Flow Data'!$E$4,-($E$9/12)*($E$7*0.001)*$E$6*Input!$G$24,"")</f>
        <v>-12.100000000000001</v>
      </c>
      <c r="F39" s="294">
        <f t="shared" si="3"/>
        <v>-12.100000000000001</v>
      </c>
      <c r="G39" s="289">
        <f t="shared" si="6"/>
        <v>2</v>
      </c>
      <c r="H39" s="278">
        <f>IF($B39&lt;=$E$4*12,(IF(G39=G38,0,-Input!$G$13*Input!$G$14)),"")</f>
        <v>0</v>
      </c>
      <c r="I39" s="278">
        <f>IF(B39&lt;=$E$4*12,(-($G$7*0.001)*($G$9/12)*Input!$G$24*$G$6),"")</f>
        <v>-66</v>
      </c>
      <c r="J39" s="286">
        <f t="shared" si="4"/>
        <v>-66</v>
      </c>
      <c r="K39" s="299">
        <f t="shared" si="1"/>
        <v>53.9</v>
      </c>
      <c r="L39" s="304">
        <f t="shared" si="5"/>
        <v>824.2999999999998</v>
      </c>
      <c r="M39" s="314"/>
      <c r="N39" s="273"/>
      <c r="O39" s="269"/>
    </row>
    <row r="40" spans="2:15" ht="12">
      <c r="B40" s="303">
        <f t="shared" si="7"/>
        <v>18</v>
      </c>
      <c r="C40" s="293">
        <f t="shared" si="2"/>
        <v>1</v>
      </c>
      <c r="D40" s="278">
        <f>IF(B40&lt;=$E$4*12,(IF(C40=C39,0,-Input!$G$21*Input!$G$22)),"")</f>
        <v>0</v>
      </c>
      <c r="E40" s="278">
        <f>IF(B40&lt;=12*'Cash Flow Data'!$E$4,-($E$9/12)*($E$7*0.001)*$E$6*Input!$G$24,"")</f>
        <v>-12.100000000000001</v>
      </c>
      <c r="F40" s="294">
        <f t="shared" si="3"/>
        <v>-12.100000000000001</v>
      </c>
      <c r="G40" s="289">
        <f t="shared" si="6"/>
        <v>2</v>
      </c>
      <c r="H40" s="278">
        <f>IF($B40&lt;=$E$4*12,(IF(G40=G39,0,-Input!$G$13*Input!$G$14)),"")</f>
        <v>0</v>
      </c>
      <c r="I40" s="278">
        <f>IF(B40&lt;=$E$4*12,(-($G$7*0.001)*($G$9/12)*Input!$G$24*$G$6),"")</f>
        <v>-66</v>
      </c>
      <c r="J40" s="286">
        <f t="shared" si="4"/>
        <v>-66</v>
      </c>
      <c r="K40" s="299">
        <f aca="true" t="shared" si="8" ref="K40:K103">IF(B40&lt;=$E$4*12,F40-J40,"")</f>
        <v>53.9</v>
      </c>
      <c r="L40" s="304">
        <f t="shared" si="5"/>
        <v>878.1999999999998</v>
      </c>
      <c r="M40" s="314"/>
      <c r="N40" s="273"/>
      <c r="O40" s="269"/>
    </row>
    <row r="41" spans="2:15" ht="12">
      <c r="B41" s="303">
        <f t="shared" si="7"/>
        <v>19</v>
      </c>
      <c r="C41" s="293">
        <f t="shared" si="2"/>
        <v>1</v>
      </c>
      <c r="D41" s="278">
        <f>IF(B41&lt;=$E$4*12,(IF(C41=C40,0,-Input!$G$21*Input!$G$22)),"")</f>
        <v>0</v>
      </c>
      <c r="E41" s="278">
        <f>IF(B41&lt;=12*'Cash Flow Data'!$E$4,-($E$9/12)*($E$7*0.001)*$E$6*Input!$G$24,"")</f>
        <v>-12.100000000000001</v>
      </c>
      <c r="F41" s="294">
        <f t="shared" si="3"/>
        <v>-12.100000000000001</v>
      </c>
      <c r="G41" s="289">
        <f t="shared" si="6"/>
        <v>3</v>
      </c>
      <c r="H41" s="278">
        <f>IF($B41&lt;=$E$4*12,(IF(G41=G40,0,-Input!$G$13*Input!$G$14)),"")</f>
        <v>-40</v>
      </c>
      <c r="I41" s="278">
        <f>IF(B41&lt;=$E$4*12,(-($G$7*0.001)*($G$9/12)*Input!$G$24*$G$6),"")</f>
        <v>-66</v>
      </c>
      <c r="J41" s="286">
        <f t="shared" si="4"/>
        <v>-106</v>
      </c>
      <c r="K41" s="299">
        <f t="shared" si="8"/>
        <v>93.9</v>
      </c>
      <c r="L41" s="304">
        <f t="shared" si="5"/>
        <v>972.0999999999998</v>
      </c>
      <c r="M41" s="314"/>
      <c r="N41" s="32"/>
      <c r="O41" s="269"/>
    </row>
    <row r="42" spans="2:15" ht="12">
      <c r="B42" s="303">
        <f t="shared" si="7"/>
        <v>20</v>
      </c>
      <c r="C42" s="293">
        <f t="shared" si="2"/>
        <v>1</v>
      </c>
      <c r="D42" s="278">
        <f>IF(B42&lt;=$E$4*12,(IF(C42=C41,0,-Input!$G$21*Input!$G$22)),"")</f>
        <v>0</v>
      </c>
      <c r="E42" s="278">
        <f>IF(B42&lt;=12*'Cash Flow Data'!$E$4,-($E$9/12)*($E$7*0.001)*$E$6*Input!$G$24,"")</f>
        <v>-12.100000000000001</v>
      </c>
      <c r="F42" s="294">
        <f t="shared" si="3"/>
        <v>-12.100000000000001</v>
      </c>
      <c r="G42" s="289">
        <f t="shared" si="6"/>
        <v>3</v>
      </c>
      <c r="H42" s="278">
        <f>IF($B42&lt;=$E$4*12,(IF(G42=G41,0,-Input!$G$13*Input!$G$14)),"")</f>
        <v>0</v>
      </c>
      <c r="I42" s="278">
        <f>IF(B42&lt;=$E$4*12,(-($G$7*0.001)*($G$9/12)*Input!$G$24*$G$6),"")</f>
        <v>-66</v>
      </c>
      <c r="J42" s="286">
        <f t="shared" si="4"/>
        <v>-66</v>
      </c>
      <c r="K42" s="299">
        <f t="shared" si="8"/>
        <v>53.9</v>
      </c>
      <c r="L42" s="304">
        <f t="shared" si="5"/>
        <v>1025.9999999999998</v>
      </c>
      <c r="M42" s="314"/>
      <c r="N42" s="34"/>
      <c r="O42" s="269"/>
    </row>
    <row r="43" spans="2:15" ht="12">
      <c r="B43" s="303">
        <f t="shared" si="7"/>
        <v>21</v>
      </c>
      <c r="C43" s="293">
        <f t="shared" si="2"/>
        <v>1</v>
      </c>
      <c r="D43" s="278">
        <f>IF(B43&lt;=$E$4*12,(IF(C43=C42,0,-Input!$G$21*Input!$G$22)),"")</f>
        <v>0</v>
      </c>
      <c r="E43" s="278">
        <f>IF(B43&lt;=12*'Cash Flow Data'!$E$4,-($E$9/12)*($E$7*0.001)*$E$6*Input!$G$24,"")</f>
        <v>-12.100000000000001</v>
      </c>
      <c r="F43" s="294">
        <f t="shared" si="3"/>
        <v>-12.100000000000001</v>
      </c>
      <c r="G43" s="289">
        <f t="shared" si="6"/>
        <v>3</v>
      </c>
      <c r="H43" s="278">
        <f>IF($B43&lt;=$E$4*12,(IF(G43=G42,0,-Input!$G$13*Input!$G$14)),"")</f>
        <v>0</v>
      </c>
      <c r="I43" s="278">
        <f>IF(B43&lt;=$E$4*12,(-($G$7*0.001)*($G$9/12)*Input!$G$24*$G$6),"")</f>
        <v>-66</v>
      </c>
      <c r="J43" s="286">
        <f t="shared" si="4"/>
        <v>-66</v>
      </c>
      <c r="K43" s="299">
        <f t="shared" si="8"/>
        <v>53.9</v>
      </c>
      <c r="L43" s="304">
        <f t="shared" si="5"/>
        <v>1079.8999999999999</v>
      </c>
      <c r="M43" s="314"/>
      <c r="N43" s="33"/>
      <c r="O43" s="269"/>
    </row>
    <row r="44" spans="2:15" ht="12">
      <c r="B44" s="303">
        <f t="shared" si="7"/>
        <v>22</v>
      </c>
      <c r="C44" s="293">
        <f t="shared" si="2"/>
        <v>1</v>
      </c>
      <c r="D44" s="278">
        <f>IF(B44&lt;=$E$4*12,(IF(C44=C43,0,-Input!$G$21*Input!$G$22)),"")</f>
        <v>0</v>
      </c>
      <c r="E44" s="278">
        <f>IF(B44&lt;=12*'Cash Flow Data'!$E$4,-($E$9/12)*($E$7*0.001)*$E$6*Input!$G$24,"")</f>
        <v>-12.100000000000001</v>
      </c>
      <c r="F44" s="294">
        <f t="shared" si="3"/>
        <v>-12.100000000000001</v>
      </c>
      <c r="G44" s="289">
        <f t="shared" si="6"/>
        <v>3</v>
      </c>
      <c r="H44" s="278">
        <f>IF($B44&lt;=$E$4*12,(IF(G44=G43,0,-Input!$G$13*Input!$G$14)),"")</f>
        <v>0</v>
      </c>
      <c r="I44" s="278">
        <f>IF(B44&lt;=$E$4*12,(-($G$7*0.001)*($G$9/12)*Input!$G$24*$G$6),"")</f>
        <v>-66</v>
      </c>
      <c r="J44" s="286">
        <f t="shared" si="4"/>
        <v>-66</v>
      </c>
      <c r="K44" s="299">
        <f t="shared" si="8"/>
        <v>53.9</v>
      </c>
      <c r="L44" s="304">
        <f t="shared" si="5"/>
        <v>1133.8</v>
      </c>
      <c r="M44" s="314"/>
      <c r="N44" s="33"/>
      <c r="O44" s="269"/>
    </row>
    <row r="45" spans="2:15" ht="12">
      <c r="B45" s="303">
        <f t="shared" si="7"/>
        <v>23</v>
      </c>
      <c r="C45" s="293">
        <f t="shared" si="2"/>
        <v>1</v>
      </c>
      <c r="D45" s="278">
        <f>IF(B45&lt;=$E$4*12,(IF(C45=C44,0,-Input!$G$21*Input!$G$22)),"")</f>
        <v>0</v>
      </c>
      <c r="E45" s="278">
        <f>IF(B45&lt;=12*'Cash Flow Data'!$E$4,-($E$9/12)*($E$7*0.001)*$E$6*Input!$G$24,"")</f>
        <v>-12.100000000000001</v>
      </c>
      <c r="F45" s="294">
        <f t="shared" si="3"/>
        <v>-12.100000000000001</v>
      </c>
      <c r="G45" s="289">
        <f t="shared" si="6"/>
        <v>3</v>
      </c>
      <c r="H45" s="278">
        <f>IF($B45&lt;=$E$4*12,(IF(G45=G44,0,-Input!$G$13*Input!$G$14)),"")</f>
        <v>0</v>
      </c>
      <c r="I45" s="278">
        <f>IF(B45&lt;=$E$4*12,(-($G$7*0.001)*($G$9/12)*Input!$G$24*$G$6),"")</f>
        <v>-66</v>
      </c>
      <c r="J45" s="286">
        <f t="shared" si="4"/>
        <v>-66</v>
      </c>
      <c r="K45" s="299">
        <f t="shared" si="8"/>
        <v>53.9</v>
      </c>
      <c r="L45" s="304">
        <f t="shared" si="5"/>
        <v>1187.7</v>
      </c>
      <c r="M45" s="314"/>
      <c r="N45" s="33"/>
      <c r="O45" s="269"/>
    </row>
    <row r="46" spans="2:15" ht="12">
      <c r="B46" s="303">
        <f t="shared" si="7"/>
        <v>24</v>
      </c>
      <c r="C46" s="293">
        <f t="shared" si="2"/>
        <v>1</v>
      </c>
      <c r="D46" s="278">
        <f>IF(B46&lt;=$E$4*12,(IF(C46=C45,0,-Input!$G$21*Input!$G$22)),"")</f>
        <v>0</v>
      </c>
      <c r="E46" s="278">
        <f>IF(B46&lt;=12*'Cash Flow Data'!$E$4,-($E$9/12)*($E$7*0.001)*$E$6*Input!$G$24,"")</f>
        <v>-12.100000000000001</v>
      </c>
      <c r="F46" s="294">
        <f t="shared" si="3"/>
        <v>-12.100000000000001</v>
      </c>
      <c r="G46" s="289">
        <f t="shared" si="6"/>
        <v>3</v>
      </c>
      <c r="H46" s="278">
        <f>IF($B46&lt;=$E$4*12,(IF(G46=G45,0,-Input!$G$13*Input!$G$14)),"")</f>
        <v>0</v>
      </c>
      <c r="I46" s="278">
        <f>IF(B46&lt;=$E$4*12,(-($G$7*0.001)*($G$9/12)*Input!$G$24*$G$6),"")</f>
        <v>-66</v>
      </c>
      <c r="J46" s="286">
        <f t="shared" si="4"/>
        <v>-66</v>
      </c>
      <c r="K46" s="299">
        <f t="shared" si="8"/>
        <v>53.9</v>
      </c>
      <c r="L46" s="304">
        <f t="shared" si="5"/>
        <v>1241.6000000000001</v>
      </c>
      <c r="M46" s="314"/>
      <c r="N46" s="33"/>
      <c r="O46" s="269"/>
    </row>
    <row r="47" spans="2:15" ht="12" hidden="1">
      <c r="B47" s="303">
        <f t="shared" si="7"/>
      </c>
      <c r="C47" s="293">
        <f t="shared" si="2"/>
      </c>
      <c r="D47" s="278">
        <f>IF(B47&lt;=$E$4*12,(IF(C47=C46,0,-Input!$G$21*Input!$G$22)),"")</f>
      </c>
      <c r="E47" s="278">
        <f>IF(B47&lt;=12*'Cash Flow Data'!$E$4,-($E$9/12)*($E$7*0.001)*$E$6*Input!$G$24,"")</f>
      </c>
      <c r="F47" s="294">
        <f t="shared" si="3"/>
      </c>
      <c r="G47" s="289">
        <f t="shared" si="6"/>
      </c>
      <c r="H47" s="278">
        <f>IF($B47&lt;=$E$4*12,(IF(G47=G46,0,-Input!$G$13*Input!$G$14)),"")</f>
      </c>
      <c r="I47" s="278">
        <f>IF(B47&lt;=$E$4*12,(-($G$7*0.001)*($G$9/12)*Input!$G$24*$G$6),"")</f>
      </c>
      <c r="J47" s="286">
        <f t="shared" si="4"/>
      </c>
      <c r="K47" s="299">
        <f t="shared" si="8"/>
      </c>
      <c r="L47" s="304">
        <f t="shared" si="5"/>
      </c>
      <c r="M47" s="314"/>
      <c r="N47" s="35"/>
      <c r="O47" s="269"/>
    </row>
    <row r="48" spans="2:15" ht="12" hidden="1">
      <c r="B48" s="303">
        <f t="shared" si="7"/>
      </c>
      <c r="C48" s="293">
        <f t="shared" si="2"/>
      </c>
      <c r="D48" s="278">
        <f>IF(B48&lt;=$E$4*12,(IF(C48=C47,0,-Input!$G$21*Input!$G$22)),"")</f>
      </c>
      <c r="E48" s="278">
        <f>IF(B48&lt;=12*'Cash Flow Data'!$E$4,-($E$9/12)*($E$7*0.001)*$E$6*Input!$G$24,"")</f>
      </c>
      <c r="F48" s="294">
        <f t="shared" si="3"/>
      </c>
      <c r="G48" s="289">
        <f t="shared" si="6"/>
      </c>
      <c r="H48" s="278">
        <f>IF($B48&lt;=$E$4*12,(IF(G48=G47,0,-Input!$G$13*Input!$G$14)),"")</f>
      </c>
      <c r="I48" s="278">
        <f>IF(B48&lt;=$E$4*12,(-($G$7*0.001)*($G$9/12)*Input!$G$24*$G$6),"")</f>
      </c>
      <c r="J48" s="286">
        <f t="shared" si="4"/>
      </c>
      <c r="K48" s="299">
        <f t="shared" si="8"/>
      </c>
      <c r="L48" s="304">
        <f t="shared" si="5"/>
      </c>
      <c r="M48" s="314"/>
      <c r="N48" s="35"/>
      <c r="O48" s="269"/>
    </row>
    <row r="49" spans="2:13" ht="12" hidden="1">
      <c r="B49" s="303">
        <f t="shared" si="7"/>
      </c>
      <c r="C49" s="293">
        <f t="shared" si="2"/>
      </c>
      <c r="D49" s="278">
        <f>IF(B49&lt;=$E$4*12,(IF(C49=C48,0,-Input!$G$21*Input!$G$22)),"")</f>
      </c>
      <c r="E49" s="278">
        <f>IF(B49&lt;=12*'Cash Flow Data'!$E$4,-($E$9/12)*($E$7*0.001)*$E$6*Input!$G$24,"")</f>
      </c>
      <c r="F49" s="294">
        <f t="shared" si="3"/>
      </c>
      <c r="G49" s="289">
        <f t="shared" si="6"/>
      </c>
      <c r="H49" s="278">
        <f>IF($B49&lt;=$E$4*12,(IF(G49=G48,0,-Input!$G$13*Input!$G$14)),"")</f>
      </c>
      <c r="I49" s="278">
        <f>IF(B49&lt;=$E$4*12,(-($G$7*0.001)*($G$9/12)*Input!$G$24*$G$6),"")</f>
      </c>
      <c r="J49" s="286">
        <f t="shared" si="4"/>
      </c>
      <c r="K49" s="299">
        <f t="shared" si="8"/>
      </c>
      <c r="L49" s="304">
        <f t="shared" si="5"/>
      </c>
      <c r="M49" s="314"/>
    </row>
    <row r="50" spans="2:13" ht="12" hidden="1">
      <c r="B50" s="303">
        <f t="shared" si="7"/>
      </c>
      <c r="C50" s="293">
        <f t="shared" si="2"/>
      </c>
      <c r="D50" s="278">
        <f>IF(B50&lt;=$E$4*12,(IF(C50=C49,0,-Input!$G$21*Input!$G$22)),"")</f>
      </c>
      <c r="E50" s="278">
        <f>IF(B50&lt;=12*'Cash Flow Data'!$E$4,-($E$9/12)*($E$7*0.001)*$E$6*Input!$G$24,"")</f>
      </c>
      <c r="F50" s="294">
        <f t="shared" si="3"/>
      </c>
      <c r="G50" s="289">
        <f t="shared" si="6"/>
      </c>
      <c r="H50" s="278">
        <f>IF($B50&lt;=$E$4*12,(IF(G50=G49,0,-Input!$G$13*Input!$G$14)),"")</f>
      </c>
      <c r="I50" s="278">
        <f>IF(B50&lt;=$E$4*12,(-($G$7*0.001)*($G$9/12)*Input!$G$24*$G$6),"")</f>
      </c>
      <c r="J50" s="286">
        <f t="shared" si="4"/>
      </c>
      <c r="K50" s="299">
        <f t="shared" si="8"/>
      </c>
      <c r="L50" s="304">
        <f t="shared" si="5"/>
      </c>
      <c r="M50" s="314"/>
    </row>
    <row r="51" spans="2:13" ht="12" hidden="1">
      <c r="B51" s="303">
        <f t="shared" si="7"/>
      </c>
      <c r="C51" s="293">
        <f t="shared" si="2"/>
      </c>
      <c r="D51" s="278">
        <f>IF(B51&lt;=$E$4*12,(IF(C51=C50,0,-Input!$G$21*Input!$G$22)),"")</f>
      </c>
      <c r="E51" s="278">
        <f>IF(B51&lt;=12*'Cash Flow Data'!$E$4,-($E$9/12)*($E$7*0.001)*$E$6*Input!$G$24,"")</f>
      </c>
      <c r="F51" s="294">
        <f t="shared" si="3"/>
      </c>
      <c r="G51" s="289">
        <f t="shared" si="6"/>
      </c>
      <c r="H51" s="278">
        <f>IF($B51&lt;=$E$4*12,(IF(G51=G50,0,-Input!$G$13*Input!$G$14)),"")</f>
      </c>
      <c r="I51" s="278">
        <f>IF(B51&lt;=$E$4*12,(-($G$7*0.001)*($G$9/12)*Input!$G$24*$G$6),"")</f>
      </c>
      <c r="J51" s="286">
        <f t="shared" si="4"/>
      </c>
      <c r="K51" s="299">
        <f t="shared" si="8"/>
      </c>
      <c r="L51" s="304">
        <f t="shared" si="5"/>
      </c>
      <c r="M51" s="314"/>
    </row>
    <row r="52" spans="2:13" ht="12" hidden="1">
      <c r="B52" s="303">
        <f t="shared" si="7"/>
      </c>
      <c r="C52" s="293">
        <f t="shared" si="2"/>
      </c>
      <c r="D52" s="278">
        <f>IF(B52&lt;=$E$4*12,(IF(C52=C51,0,-Input!$G$21*Input!$G$22)),"")</f>
      </c>
      <c r="E52" s="278">
        <f>IF(B52&lt;=12*'Cash Flow Data'!$E$4,-($E$9/12)*($E$7*0.001)*$E$6*Input!$G$24,"")</f>
      </c>
      <c r="F52" s="294">
        <f t="shared" si="3"/>
      </c>
      <c r="G52" s="289">
        <f t="shared" si="6"/>
      </c>
      <c r="H52" s="278">
        <f>IF($B52&lt;=$E$4*12,(IF(G52=G51,0,-Input!$G$13*Input!$G$14)),"")</f>
      </c>
      <c r="I52" s="278">
        <f>IF(B52&lt;=$E$4*12,(-($G$7*0.001)*($G$9/12)*Input!$G$24*$G$6),"")</f>
      </c>
      <c r="J52" s="286">
        <f t="shared" si="4"/>
      </c>
      <c r="K52" s="299">
        <f t="shared" si="8"/>
      </c>
      <c r="L52" s="304">
        <f t="shared" si="5"/>
      </c>
      <c r="M52" s="314"/>
    </row>
    <row r="53" spans="2:13" ht="12" hidden="1">
      <c r="B53" s="303">
        <f t="shared" si="7"/>
      </c>
      <c r="C53" s="293">
        <f t="shared" si="2"/>
      </c>
      <c r="D53" s="278">
        <f>IF(B53&lt;=$E$4*12,(IF(C53=C52,0,-Input!$G$21*Input!$G$22)),"")</f>
      </c>
      <c r="E53" s="278">
        <f>IF(B53&lt;=12*'Cash Flow Data'!$E$4,-($E$9/12)*($E$7*0.001)*$E$6*Input!$G$24,"")</f>
      </c>
      <c r="F53" s="294">
        <f t="shared" si="3"/>
      </c>
      <c r="G53" s="289">
        <f t="shared" si="6"/>
      </c>
      <c r="H53" s="278">
        <f>IF($B53&lt;=$E$4*12,(IF(G53=G52,0,-Input!$G$13*Input!$G$14)),"")</f>
      </c>
      <c r="I53" s="278">
        <f>IF(B53&lt;=$E$4*12,(-($G$7*0.001)*($G$9/12)*Input!$G$24*$G$6),"")</f>
      </c>
      <c r="J53" s="286">
        <f t="shared" si="4"/>
      </c>
      <c r="K53" s="299">
        <f t="shared" si="8"/>
      </c>
      <c r="L53" s="304">
        <f t="shared" si="5"/>
      </c>
      <c r="M53" s="314"/>
    </row>
    <row r="54" spans="2:13" ht="12" hidden="1">
      <c r="B54" s="303">
        <f t="shared" si="7"/>
      </c>
      <c r="C54" s="293">
        <f t="shared" si="2"/>
      </c>
      <c r="D54" s="278">
        <f>IF(B54&lt;=$E$4*12,(IF(C54=C53,0,-Input!$G$21*Input!$G$22)),"")</f>
      </c>
      <c r="E54" s="278">
        <f>IF(B54&lt;=12*'Cash Flow Data'!$E$4,-($E$9/12)*($E$7*0.001)*$E$6*Input!$G$24,"")</f>
      </c>
      <c r="F54" s="294">
        <f t="shared" si="3"/>
      </c>
      <c r="G54" s="289">
        <f t="shared" si="6"/>
      </c>
      <c r="H54" s="278">
        <f>IF($B54&lt;=$E$4*12,(IF(G54=G53,0,-Input!$G$13*Input!$G$14)),"")</f>
      </c>
      <c r="I54" s="278">
        <f>IF(B54&lt;=$E$4*12,(-($G$7*0.001)*($G$9/12)*Input!$G$24*$G$6),"")</f>
      </c>
      <c r="J54" s="286">
        <f t="shared" si="4"/>
      </c>
      <c r="K54" s="299">
        <f t="shared" si="8"/>
      </c>
      <c r="L54" s="304">
        <f t="shared" si="5"/>
      </c>
      <c r="M54" s="314"/>
    </row>
    <row r="55" spans="2:13" ht="12" hidden="1">
      <c r="B55" s="303">
        <f t="shared" si="7"/>
      </c>
      <c r="C55" s="293">
        <f t="shared" si="2"/>
      </c>
      <c r="D55" s="278">
        <f>IF(B55&lt;=$E$4*12,(IF(C55=C54,0,-Input!$G$21*Input!$G$22)),"")</f>
      </c>
      <c r="E55" s="278">
        <f>IF(B55&lt;=12*'Cash Flow Data'!$E$4,-($E$9/12)*($E$7*0.001)*$E$6*Input!$G$24,"")</f>
      </c>
      <c r="F55" s="294">
        <f t="shared" si="3"/>
      </c>
      <c r="G55" s="289">
        <f t="shared" si="6"/>
      </c>
      <c r="H55" s="278">
        <f>IF($B55&lt;=$E$4*12,(IF(G55=G54,0,-Input!$G$13*Input!$G$14)),"")</f>
      </c>
      <c r="I55" s="278">
        <f>IF(B55&lt;=$E$4*12,(-($G$7*0.001)*($G$9/12)*Input!$G$24*$G$6),"")</f>
      </c>
      <c r="J55" s="286">
        <f t="shared" si="4"/>
      </c>
      <c r="K55" s="299">
        <f t="shared" si="8"/>
      </c>
      <c r="L55" s="304">
        <f t="shared" si="5"/>
      </c>
      <c r="M55" s="314"/>
    </row>
    <row r="56" spans="2:13" ht="12" hidden="1">
      <c r="B56" s="303">
        <f t="shared" si="7"/>
      </c>
      <c r="C56" s="293">
        <f t="shared" si="2"/>
      </c>
      <c r="D56" s="278">
        <f>IF(B56&lt;=$E$4*12,(IF(C56=C55,0,-Input!$G$21*Input!$G$22)),"")</f>
      </c>
      <c r="E56" s="278">
        <f>IF(B56&lt;=12*'Cash Flow Data'!$E$4,-($E$9/12)*($E$7*0.001)*$E$6*Input!$G$24,"")</f>
      </c>
      <c r="F56" s="294">
        <f t="shared" si="3"/>
      </c>
      <c r="G56" s="289">
        <f t="shared" si="6"/>
      </c>
      <c r="H56" s="278">
        <f>IF($B56&lt;=$E$4*12,(IF(G56=G55,0,-Input!$G$13*Input!$G$14)),"")</f>
      </c>
      <c r="I56" s="278">
        <f>IF(B56&lt;=$E$4*12,(-($G$7*0.001)*($G$9/12)*Input!$G$24*$G$6),"")</f>
      </c>
      <c r="J56" s="286">
        <f t="shared" si="4"/>
      </c>
      <c r="K56" s="299">
        <f t="shared" si="8"/>
      </c>
      <c r="L56" s="304">
        <f t="shared" si="5"/>
      </c>
      <c r="M56" s="314"/>
    </row>
    <row r="57" spans="2:13" ht="12" hidden="1">
      <c r="B57" s="303">
        <f t="shared" si="7"/>
      </c>
      <c r="C57" s="293">
        <f t="shared" si="2"/>
      </c>
      <c r="D57" s="278">
        <f>IF(B57&lt;=$E$4*12,(IF(C57=C56,0,-Input!$G$21*Input!$G$22)),"")</f>
      </c>
      <c r="E57" s="278">
        <f>IF(B57&lt;=12*'Cash Flow Data'!$E$4,-($E$9/12)*($E$7*0.001)*$E$6*Input!$G$24,"")</f>
      </c>
      <c r="F57" s="294">
        <f t="shared" si="3"/>
      </c>
      <c r="G57" s="289">
        <f t="shared" si="6"/>
      </c>
      <c r="H57" s="278">
        <f>IF($B57&lt;=$E$4*12,(IF(G57=G56,0,-Input!$G$13*Input!$G$14)),"")</f>
      </c>
      <c r="I57" s="278">
        <f>IF(B57&lt;=$E$4*12,(-($G$7*0.001)*($G$9/12)*Input!$G$24*$G$6),"")</f>
      </c>
      <c r="J57" s="286">
        <f t="shared" si="4"/>
      </c>
      <c r="K57" s="299">
        <f t="shared" si="8"/>
      </c>
      <c r="L57" s="304">
        <f t="shared" si="5"/>
      </c>
      <c r="M57" s="314"/>
    </row>
    <row r="58" spans="2:13" ht="12" hidden="1">
      <c r="B58" s="303">
        <f t="shared" si="7"/>
      </c>
      <c r="C58" s="293">
        <f t="shared" si="2"/>
      </c>
      <c r="D58" s="278">
        <f>IF(B58&lt;=$E$4*12,(IF(C58=C57,0,-Input!$G$21*Input!$G$22)),"")</f>
      </c>
      <c r="E58" s="278">
        <f>IF(B58&lt;=12*'Cash Flow Data'!$E$4,-($E$9/12)*($E$7*0.001)*$E$6*Input!$G$24,"")</f>
      </c>
      <c r="F58" s="294">
        <f t="shared" si="3"/>
      </c>
      <c r="G58" s="289">
        <f t="shared" si="6"/>
      </c>
      <c r="H58" s="278">
        <f>IF($B58&lt;=$E$4*12,(IF(G58=G57,0,-Input!$G$13*Input!$G$14)),"")</f>
      </c>
      <c r="I58" s="278">
        <f>IF(B58&lt;=$E$4*12,(-($G$7*0.001)*($G$9/12)*Input!$G$24*$G$6),"")</f>
      </c>
      <c r="J58" s="286">
        <f t="shared" si="4"/>
      </c>
      <c r="K58" s="299">
        <f t="shared" si="8"/>
      </c>
      <c r="L58" s="304">
        <f t="shared" si="5"/>
      </c>
      <c r="M58" s="314"/>
    </row>
    <row r="59" spans="2:13" ht="12" hidden="1">
      <c r="B59" s="303">
        <f t="shared" si="7"/>
      </c>
      <c r="C59" s="293">
        <f t="shared" si="2"/>
      </c>
      <c r="D59" s="278">
        <f>IF(B59&lt;=$E$4*12,(IF(C59=C58,0,-Input!$G$21*Input!$G$22)),"")</f>
      </c>
      <c r="E59" s="278">
        <f>IF(B59&lt;=12*'Cash Flow Data'!$E$4,-($E$9/12)*($E$7*0.001)*$E$6*Input!$G$24,"")</f>
      </c>
      <c r="F59" s="294">
        <f t="shared" si="3"/>
      </c>
      <c r="G59" s="289">
        <f t="shared" si="6"/>
      </c>
      <c r="H59" s="278">
        <f>IF($B59&lt;=$E$4*12,(IF(G59=G58,0,-Input!$G$13*Input!$G$14)),"")</f>
      </c>
      <c r="I59" s="278">
        <f>IF(B59&lt;=$E$4*12,(-($G$7*0.001)*($G$9/12)*Input!$G$24*$G$6),"")</f>
      </c>
      <c r="J59" s="286">
        <f t="shared" si="4"/>
      </c>
      <c r="K59" s="299">
        <f t="shared" si="8"/>
      </c>
      <c r="L59" s="304">
        <f t="shared" si="5"/>
      </c>
      <c r="M59" s="314"/>
    </row>
    <row r="60" spans="2:13" ht="12" hidden="1">
      <c r="B60" s="303">
        <f t="shared" si="7"/>
      </c>
      <c r="C60" s="293">
        <f t="shared" si="2"/>
      </c>
      <c r="D60" s="278">
        <f>IF(B60&lt;=$E$4*12,(IF(C60=C59,0,-Input!$G$21*Input!$G$22)),"")</f>
      </c>
      <c r="E60" s="278">
        <f>IF(B60&lt;=12*'Cash Flow Data'!$E$4,-($E$9/12)*($E$7*0.001)*$E$6*Input!$G$24,"")</f>
      </c>
      <c r="F60" s="294">
        <f t="shared" si="3"/>
      </c>
      <c r="G60" s="289">
        <f t="shared" si="6"/>
      </c>
      <c r="H60" s="278">
        <f>IF($B60&lt;=$E$4*12,(IF(G60=G59,0,-Input!$G$13*Input!$G$14)),"")</f>
      </c>
      <c r="I60" s="278">
        <f>IF(B60&lt;=$E$4*12,(-($G$7*0.001)*($G$9/12)*Input!$G$24*$G$6),"")</f>
      </c>
      <c r="J60" s="286">
        <f t="shared" si="4"/>
      </c>
      <c r="K60" s="299">
        <f t="shared" si="8"/>
      </c>
      <c r="L60" s="304">
        <f t="shared" si="5"/>
      </c>
      <c r="M60" s="314"/>
    </row>
    <row r="61" spans="2:13" ht="12" hidden="1">
      <c r="B61" s="303">
        <f t="shared" si="7"/>
      </c>
      <c r="C61" s="293">
        <f t="shared" si="2"/>
      </c>
      <c r="D61" s="278">
        <f>IF(B61&lt;=$E$4*12,(IF(C61=C60,0,-Input!$G$21*Input!$G$22)),"")</f>
      </c>
      <c r="E61" s="278">
        <f>IF(B61&lt;=12*'Cash Flow Data'!$E$4,-($E$9/12)*($E$7*0.001)*$E$6*Input!$G$24,"")</f>
      </c>
      <c r="F61" s="294">
        <f t="shared" si="3"/>
      </c>
      <c r="G61" s="289">
        <f t="shared" si="6"/>
      </c>
      <c r="H61" s="278">
        <f>IF($B61&lt;=$E$4*12,(IF(G61=G60,0,-Input!$G$13*Input!$G$14)),"")</f>
      </c>
      <c r="I61" s="278">
        <f>IF(B61&lt;=$E$4*12,(-($G$7*0.001)*($G$9/12)*Input!$G$24*$G$6),"")</f>
      </c>
      <c r="J61" s="286">
        <f t="shared" si="4"/>
      </c>
      <c r="K61" s="299">
        <f t="shared" si="8"/>
      </c>
      <c r="L61" s="304">
        <f t="shared" si="5"/>
      </c>
      <c r="M61" s="314"/>
    </row>
    <row r="62" spans="2:13" ht="12" hidden="1">
      <c r="B62" s="303">
        <f t="shared" si="7"/>
      </c>
      <c r="C62" s="293">
        <f t="shared" si="2"/>
      </c>
      <c r="D62" s="278">
        <f>IF(B62&lt;=$E$4*12,(IF(C62=C61,0,-Input!$G$21*Input!$G$22)),"")</f>
      </c>
      <c r="E62" s="278">
        <f>IF(B62&lt;=12*'Cash Flow Data'!$E$4,-($E$9/12)*($E$7*0.001)*$E$6*Input!$G$24,"")</f>
      </c>
      <c r="F62" s="294">
        <f t="shared" si="3"/>
      </c>
      <c r="G62" s="289">
        <f t="shared" si="6"/>
      </c>
      <c r="H62" s="278">
        <f>IF($B62&lt;=$E$4*12,(IF(G62=G61,0,-Input!$G$13*Input!$G$14)),"")</f>
      </c>
      <c r="I62" s="278">
        <f>IF(B62&lt;=$E$4*12,(-($G$7*0.001)*($G$9/12)*Input!$G$24*$G$6),"")</f>
      </c>
      <c r="J62" s="286">
        <f t="shared" si="4"/>
      </c>
      <c r="K62" s="299">
        <f t="shared" si="8"/>
      </c>
      <c r="L62" s="304">
        <f t="shared" si="5"/>
      </c>
      <c r="M62" s="314"/>
    </row>
    <row r="63" spans="2:13" ht="12" hidden="1">
      <c r="B63" s="303">
        <f t="shared" si="7"/>
      </c>
      <c r="C63" s="293">
        <f t="shared" si="2"/>
      </c>
      <c r="D63" s="278">
        <f>IF(B63&lt;=$E$4*12,(IF(C63=C62,0,-Input!$G$21*Input!$G$22)),"")</f>
      </c>
      <c r="E63" s="278">
        <f>IF(B63&lt;=12*'Cash Flow Data'!$E$4,-($E$9/12)*($E$7*0.001)*$E$6*Input!$G$24,"")</f>
      </c>
      <c r="F63" s="294">
        <f t="shared" si="3"/>
      </c>
      <c r="G63" s="289">
        <f t="shared" si="6"/>
      </c>
      <c r="H63" s="278">
        <f>IF($B63&lt;=$E$4*12,(IF(G63=G62,0,-Input!$G$13*Input!$G$14)),"")</f>
      </c>
      <c r="I63" s="278">
        <f>IF(B63&lt;=$E$4*12,(-($G$7*0.001)*($G$9/12)*Input!$G$24*$G$6),"")</f>
      </c>
      <c r="J63" s="286">
        <f t="shared" si="4"/>
      </c>
      <c r="K63" s="299">
        <f t="shared" si="8"/>
      </c>
      <c r="L63" s="304">
        <f t="shared" si="5"/>
      </c>
      <c r="M63" s="314"/>
    </row>
    <row r="64" spans="2:13" ht="12" hidden="1">
      <c r="B64" s="303">
        <f t="shared" si="7"/>
      </c>
      <c r="C64" s="293">
        <f t="shared" si="2"/>
      </c>
      <c r="D64" s="278">
        <f>IF(B64&lt;=$E$4*12,(IF(C64=C63,0,-Input!$G$21*Input!$G$22)),"")</f>
      </c>
      <c r="E64" s="278">
        <f>IF(B64&lt;=12*'Cash Flow Data'!$E$4,-($E$9/12)*($E$7*0.001)*$E$6*Input!$G$24,"")</f>
      </c>
      <c r="F64" s="294">
        <f t="shared" si="3"/>
      </c>
      <c r="G64" s="289">
        <f t="shared" si="6"/>
      </c>
      <c r="H64" s="278">
        <f>IF($B64&lt;=$E$4*12,(IF(G64=G63,0,-Input!$G$13*Input!$G$14)),"")</f>
      </c>
      <c r="I64" s="278">
        <f>IF(B64&lt;=$E$4*12,(-($G$7*0.001)*($G$9/12)*Input!$G$24*$G$6),"")</f>
      </c>
      <c r="J64" s="286">
        <f t="shared" si="4"/>
      </c>
      <c r="K64" s="299">
        <f t="shared" si="8"/>
      </c>
      <c r="L64" s="304">
        <f t="shared" si="5"/>
      </c>
      <c r="M64" s="314"/>
    </row>
    <row r="65" spans="2:13" ht="12" hidden="1">
      <c r="B65" s="303">
        <f t="shared" si="7"/>
      </c>
      <c r="C65" s="293">
        <f t="shared" si="2"/>
      </c>
      <c r="D65" s="278">
        <f>IF(B65&lt;=$E$4*12,(IF(C65=C64,0,-Input!$G$21*Input!$G$22)),"")</f>
      </c>
      <c r="E65" s="278">
        <f>IF(B65&lt;=12*'Cash Flow Data'!$E$4,-($E$9/12)*($E$7*0.001)*$E$6*Input!$G$24,"")</f>
      </c>
      <c r="F65" s="294">
        <f t="shared" si="3"/>
      </c>
      <c r="G65" s="289">
        <f t="shared" si="6"/>
      </c>
      <c r="H65" s="278">
        <f>IF($B65&lt;=$E$4*12,(IF(G65=G64,0,-Input!$G$13*Input!$G$14)),"")</f>
      </c>
      <c r="I65" s="278">
        <f>IF(B65&lt;=$E$4*12,(-($G$7*0.001)*($G$9/12)*Input!$G$24*$G$6),"")</f>
      </c>
      <c r="J65" s="286">
        <f t="shared" si="4"/>
      </c>
      <c r="K65" s="299">
        <f t="shared" si="8"/>
      </c>
      <c r="L65" s="304">
        <f t="shared" si="5"/>
      </c>
      <c r="M65" s="314"/>
    </row>
    <row r="66" spans="2:13" ht="12" hidden="1">
      <c r="B66" s="303">
        <f t="shared" si="7"/>
      </c>
      <c r="C66" s="293">
        <f t="shared" si="2"/>
      </c>
      <c r="D66" s="278">
        <f>IF(B66&lt;=$E$4*12,(IF(C66=C65,0,-Input!$G$21*Input!$G$22)),"")</f>
      </c>
      <c r="E66" s="278">
        <f>IF(B66&lt;=12*'Cash Flow Data'!$E$4,-($E$9/12)*($E$7*0.001)*$E$6*Input!$G$24,"")</f>
      </c>
      <c r="F66" s="294">
        <f t="shared" si="3"/>
      </c>
      <c r="G66" s="289">
        <f t="shared" si="6"/>
      </c>
      <c r="H66" s="278">
        <f>IF($B66&lt;=$E$4*12,(IF(G66=G65,0,-Input!$G$13*Input!$G$14)),"")</f>
      </c>
      <c r="I66" s="278">
        <f>IF(B66&lt;=$E$4*12,(-($G$7*0.001)*($G$9/12)*Input!$G$24*$G$6),"")</f>
      </c>
      <c r="J66" s="286">
        <f t="shared" si="4"/>
      </c>
      <c r="K66" s="299">
        <f t="shared" si="8"/>
      </c>
      <c r="L66" s="304">
        <f t="shared" si="5"/>
      </c>
      <c r="M66" s="314"/>
    </row>
    <row r="67" spans="2:13" ht="12" hidden="1">
      <c r="B67" s="303">
        <f t="shared" si="7"/>
      </c>
      <c r="C67" s="293">
        <f t="shared" si="2"/>
      </c>
      <c r="D67" s="278">
        <f>IF(B67&lt;=$E$4*12,(IF(C67=C66,0,-Input!$G$21*Input!$G$22)),"")</f>
      </c>
      <c r="E67" s="278">
        <f>IF(B67&lt;=12*'Cash Flow Data'!$E$4,-($E$9/12)*($E$7*0.001)*$E$6*Input!$G$24,"")</f>
      </c>
      <c r="F67" s="294">
        <f t="shared" si="3"/>
      </c>
      <c r="G67" s="289">
        <f t="shared" si="6"/>
      </c>
      <c r="H67" s="278">
        <f>IF($B67&lt;=$E$4*12,(IF(G67=G66,0,-Input!$G$13*Input!$G$14)),"")</f>
      </c>
      <c r="I67" s="278">
        <f>IF(B67&lt;=$E$4*12,(-($G$7*0.001)*($G$9/12)*Input!$G$24*$G$6),"")</f>
      </c>
      <c r="J67" s="286">
        <f t="shared" si="4"/>
      </c>
      <c r="K67" s="299">
        <f t="shared" si="8"/>
      </c>
      <c r="L67" s="304">
        <f t="shared" si="5"/>
      </c>
      <c r="M67" s="314"/>
    </row>
    <row r="68" spans="2:13" ht="12" hidden="1">
      <c r="B68" s="303">
        <f t="shared" si="7"/>
      </c>
      <c r="C68" s="293">
        <f t="shared" si="2"/>
      </c>
      <c r="D68" s="278">
        <f>IF(B68&lt;=$E$4*12,(IF(C68=C67,0,-Input!$G$21*Input!$G$22)),"")</f>
      </c>
      <c r="E68" s="278">
        <f>IF(B68&lt;=12*'Cash Flow Data'!$E$4,-($E$9/12)*($E$7*0.001)*$E$6*Input!$G$24,"")</f>
      </c>
      <c r="F68" s="294">
        <f t="shared" si="3"/>
      </c>
      <c r="G68" s="289">
        <f t="shared" si="6"/>
      </c>
      <c r="H68" s="278">
        <f>IF($B68&lt;=$E$4*12,(IF(G68=G67,0,-Input!$G$13*Input!$G$14)),"")</f>
      </c>
      <c r="I68" s="278">
        <f>IF(B68&lt;=$E$4*12,(-($G$7*0.001)*($G$9/12)*Input!$G$24*$G$6),"")</f>
      </c>
      <c r="J68" s="286">
        <f t="shared" si="4"/>
      </c>
      <c r="K68" s="299">
        <f t="shared" si="8"/>
      </c>
      <c r="L68" s="304">
        <f t="shared" si="5"/>
      </c>
      <c r="M68" s="314"/>
    </row>
    <row r="69" spans="2:13" ht="12" hidden="1">
      <c r="B69" s="303">
        <f t="shared" si="7"/>
      </c>
      <c r="C69" s="293">
        <f t="shared" si="2"/>
      </c>
      <c r="D69" s="278">
        <f>IF(B69&lt;=$E$4*12,(IF(C69=C68,0,-Input!$G$21*Input!$G$22)),"")</f>
      </c>
      <c r="E69" s="278">
        <f>IF(B69&lt;=12*'Cash Flow Data'!$E$4,-($E$9/12)*($E$7*0.001)*$E$6*Input!$G$24,"")</f>
      </c>
      <c r="F69" s="294">
        <f t="shared" si="3"/>
      </c>
      <c r="G69" s="289">
        <f t="shared" si="6"/>
      </c>
      <c r="H69" s="278">
        <f>IF($B69&lt;=$E$4*12,(IF(G69=G68,0,-Input!$G$13*Input!$G$14)),"")</f>
      </c>
      <c r="I69" s="278">
        <f>IF(B69&lt;=$E$4*12,(-($G$7*0.001)*($G$9/12)*Input!$G$24*$G$6),"")</f>
      </c>
      <c r="J69" s="286">
        <f t="shared" si="4"/>
      </c>
      <c r="K69" s="299">
        <f t="shared" si="8"/>
      </c>
      <c r="L69" s="304">
        <f t="shared" si="5"/>
      </c>
      <c r="M69" s="314"/>
    </row>
    <row r="70" spans="2:13" ht="12" hidden="1">
      <c r="B70" s="303">
        <f t="shared" si="7"/>
      </c>
      <c r="C70" s="293">
        <f t="shared" si="2"/>
      </c>
      <c r="D70" s="278">
        <f>IF(B70&lt;=$E$4*12,(IF(C70=C69,0,-Input!$G$21*Input!$G$22)),"")</f>
      </c>
      <c r="E70" s="278">
        <f>IF(B70&lt;=12*'Cash Flow Data'!$E$4,-($E$9/12)*($E$7*0.001)*$E$6*Input!$G$24,"")</f>
      </c>
      <c r="F70" s="294">
        <f t="shared" si="3"/>
      </c>
      <c r="G70" s="289">
        <f t="shared" si="6"/>
      </c>
      <c r="H70" s="278">
        <f>IF($B70&lt;=$E$4*12,(IF(G70=G69,0,-Input!$G$13*Input!$G$14)),"")</f>
      </c>
      <c r="I70" s="278">
        <f>IF(B70&lt;=$E$4*12,(-($G$7*0.001)*($G$9/12)*Input!$G$24*$G$6),"")</f>
      </c>
      <c r="J70" s="286">
        <f t="shared" si="4"/>
      </c>
      <c r="K70" s="299">
        <f t="shared" si="8"/>
      </c>
      <c r="L70" s="304">
        <f t="shared" si="5"/>
      </c>
      <c r="M70" s="314"/>
    </row>
    <row r="71" spans="2:13" ht="12" hidden="1">
      <c r="B71" s="303">
        <f t="shared" si="7"/>
      </c>
      <c r="C71" s="293">
        <f t="shared" si="2"/>
      </c>
      <c r="D71" s="278">
        <f>IF(B71&lt;=$E$4*12,(IF(C71=C70,0,-Input!$G$21*Input!$G$22)),"")</f>
      </c>
      <c r="E71" s="278">
        <f>IF(B71&lt;=12*'Cash Flow Data'!$E$4,-($E$9/12)*($E$7*0.001)*$E$6*Input!$G$24,"")</f>
      </c>
      <c r="F71" s="294">
        <f t="shared" si="3"/>
      </c>
      <c r="G71" s="289">
        <f t="shared" si="6"/>
      </c>
      <c r="H71" s="278">
        <f>IF($B71&lt;=$E$4*12,(IF(G71=G70,0,-Input!$G$13*Input!$G$14)),"")</f>
      </c>
      <c r="I71" s="278">
        <f>IF(B71&lt;=$E$4*12,(-($G$7*0.001)*($G$9/12)*Input!$G$24*$G$6),"")</f>
      </c>
      <c r="J71" s="286">
        <f t="shared" si="4"/>
      </c>
      <c r="K71" s="299">
        <f t="shared" si="8"/>
      </c>
      <c r="L71" s="304">
        <f t="shared" si="5"/>
      </c>
      <c r="M71" s="314"/>
    </row>
    <row r="72" spans="2:13" ht="12" hidden="1">
      <c r="B72" s="303">
        <f t="shared" si="7"/>
      </c>
      <c r="C72" s="293">
        <f t="shared" si="2"/>
      </c>
      <c r="D72" s="278">
        <f>IF(B72&lt;=$E$4*12,(IF(C72=C71,0,-Input!$G$21*Input!$G$22)),"")</f>
      </c>
      <c r="E72" s="278">
        <f>IF(B72&lt;=12*'Cash Flow Data'!$E$4,-($E$9/12)*($E$7*0.001)*$E$6*Input!$G$24,"")</f>
      </c>
      <c r="F72" s="294">
        <f t="shared" si="3"/>
      </c>
      <c r="G72" s="289">
        <f t="shared" si="6"/>
      </c>
      <c r="H72" s="278">
        <f>IF($B72&lt;=$E$4*12,(IF(G72=G71,0,-Input!$G$13*Input!$G$14)),"")</f>
      </c>
      <c r="I72" s="278">
        <f>IF(B72&lt;=$E$4*12,(-($G$7*0.001)*($G$9/12)*Input!$G$24*$G$6),"")</f>
      </c>
      <c r="J72" s="286">
        <f t="shared" si="4"/>
      </c>
      <c r="K72" s="299">
        <f t="shared" si="8"/>
      </c>
      <c r="L72" s="304">
        <f t="shared" si="5"/>
      </c>
      <c r="M72" s="314"/>
    </row>
    <row r="73" spans="2:13" ht="12" hidden="1">
      <c r="B73" s="303">
        <f t="shared" si="7"/>
      </c>
      <c r="C73" s="293">
        <f t="shared" si="2"/>
      </c>
      <c r="D73" s="278">
        <f>IF(B73&lt;=$E$4*12,(IF(C73=C72,0,-Input!$G$21*Input!$G$22)),"")</f>
      </c>
      <c r="E73" s="278">
        <f>IF(B73&lt;=12*'Cash Flow Data'!$E$4,-($E$9/12)*($E$7*0.001)*$E$6*Input!$G$24,"")</f>
      </c>
      <c r="F73" s="294">
        <f t="shared" si="3"/>
      </c>
      <c r="G73" s="289">
        <f t="shared" si="6"/>
      </c>
      <c r="H73" s="278">
        <f>IF($B73&lt;=$E$4*12,(IF(G73=G72,0,-Input!$G$13*Input!$G$14)),"")</f>
      </c>
      <c r="I73" s="278">
        <f>IF(B73&lt;=$E$4*12,(-($G$7*0.001)*($G$9/12)*Input!$G$24*$G$6),"")</f>
      </c>
      <c r="J73" s="286">
        <f t="shared" si="4"/>
      </c>
      <c r="K73" s="299">
        <f t="shared" si="8"/>
      </c>
      <c r="L73" s="304">
        <f t="shared" si="5"/>
      </c>
      <c r="M73" s="314"/>
    </row>
    <row r="74" spans="2:13" ht="12" hidden="1">
      <c r="B74" s="303">
        <f t="shared" si="7"/>
      </c>
      <c r="C74" s="293">
        <f t="shared" si="2"/>
      </c>
      <c r="D74" s="278">
        <f>IF(B74&lt;=$E$4*12,(IF(C74=C73,0,-Input!$G$21*Input!$G$22)),"")</f>
      </c>
      <c r="E74" s="278">
        <f>IF(B74&lt;=12*'Cash Flow Data'!$E$4,-($E$9/12)*($E$7*0.001)*$E$6*Input!$G$24,"")</f>
      </c>
      <c r="F74" s="294">
        <f t="shared" si="3"/>
      </c>
      <c r="G74" s="289">
        <f t="shared" si="6"/>
      </c>
      <c r="H74" s="278">
        <f>IF($B74&lt;=$E$4*12,(IF(G74=G73,0,-Input!$G$13*Input!$G$14)),"")</f>
      </c>
      <c r="I74" s="278">
        <f>IF(B74&lt;=$E$4*12,(-($G$7*0.001)*($G$9/12)*Input!$G$24*$G$6),"")</f>
      </c>
      <c r="J74" s="286">
        <f t="shared" si="4"/>
      </c>
      <c r="K74" s="299">
        <f t="shared" si="8"/>
      </c>
      <c r="L74" s="304">
        <f t="shared" si="5"/>
      </c>
      <c r="M74" s="314"/>
    </row>
    <row r="75" spans="2:13" ht="12" hidden="1">
      <c r="B75" s="303">
        <f t="shared" si="7"/>
      </c>
      <c r="C75" s="293">
        <f t="shared" si="2"/>
      </c>
      <c r="D75" s="278">
        <f>IF(B75&lt;=$E$4*12,(IF(C75=C74,0,-Input!$G$21*Input!$G$22)),"")</f>
      </c>
      <c r="E75" s="278">
        <f>IF(B75&lt;=12*'Cash Flow Data'!$E$4,-($E$9/12)*($E$7*0.001)*$E$6*Input!$G$24,"")</f>
      </c>
      <c r="F75" s="294">
        <f t="shared" si="3"/>
      </c>
      <c r="G75" s="289">
        <f t="shared" si="6"/>
      </c>
      <c r="H75" s="278">
        <f>IF($B75&lt;=$E$4*12,(IF(G75=G74,0,-Input!$G$13*Input!$G$14)),"")</f>
      </c>
      <c r="I75" s="278">
        <f>IF(B75&lt;=$E$4*12,(-($G$7*0.001)*($G$9/12)*Input!$G$24*$G$6),"")</f>
      </c>
      <c r="J75" s="286">
        <f t="shared" si="4"/>
      </c>
      <c r="K75" s="299">
        <f t="shared" si="8"/>
      </c>
      <c r="L75" s="304">
        <f t="shared" si="5"/>
      </c>
      <c r="M75" s="314"/>
    </row>
    <row r="76" spans="2:13" ht="12" hidden="1">
      <c r="B76" s="303">
        <f t="shared" si="7"/>
      </c>
      <c r="C76" s="293">
        <f t="shared" si="2"/>
      </c>
      <c r="D76" s="278">
        <f>IF(B76&lt;=$E$4*12,(IF(C76=C75,0,-Input!$G$21*Input!$G$22)),"")</f>
      </c>
      <c r="E76" s="278">
        <f>IF(B76&lt;=12*'Cash Flow Data'!$E$4,-($E$9/12)*($E$7*0.001)*$E$6*Input!$G$24,"")</f>
      </c>
      <c r="F76" s="294">
        <f t="shared" si="3"/>
      </c>
      <c r="G76" s="289">
        <f t="shared" si="6"/>
      </c>
      <c r="H76" s="278">
        <f>IF($B76&lt;=$E$4*12,(IF(G76=G75,0,-Input!$G$13*Input!$G$14)),"")</f>
      </c>
      <c r="I76" s="278">
        <f>IF(B76&lt;=$E$4*12,(-($G$7*0.001)*($G$9/12)*Input!$G$24*$G$6),"")</f>
      </c>
      <c r="J76" s="286">
        <f t="shared" si="4"/>
      </c>
      <c r="K76" s="299">
        <f t="shared" si="8"/>
      </c>
      <c r="L76" s="304">
        <f t="shared" si="5"/>
      </c>
      <c r="M76" s="314"/>
    </row>
    <row r="77" spans="2:13" ht="12" hidden="1">
      <c r="B77" s="303">
        <f t="shared" si="7"/>
      </c>
      <c r="C77" s="293">
        <f t="shared" si="2"/>
      </c>
      <c r="D77" s="278">
        <f>IF(B77&lt;=$E$4*12,(IF(C77=C76,0,-Input!$G$21*Input!$G$22)),"")</f>
      </c>
      <c r="E77" s="278">
        <f>IF(B77&lt;=12*'Cash Flow Data'!$E$4,-($E$9/12)*($E$7*0.001)*$E$6*Input!$G$24,"")</f>
      </c>
      <c r="F77" s="294">
        <f t="shared" si="3"/>
      </c>
      <c r="G77" s="289">
        <f t="shared" si="6"/>
      </c>
      <c r="H77" s="278">
        <f>IF($B77&lt;=$E$4*12,(IF(G77=G76,0,-Input!$G$13*Input!$G$14)),"")</f>
      </c>
      <c r="I77" s="278">
        <f>IF(B77&lt;=$E$4*12,(-($G$7*0.001)*($G$9/12)*Input!$G$24*$G$6),"")</f>
      </c>
      <c r="J77" s="286">
        <f t="shared" si="4"/>
      </c>
      <c r="K77" s="299">
        <f t="shared" si="8"/>
      </c>
      <c r="L77" s="304">
        <f t="shared" si="5"/>
      </c>
      <c r="M77" s="314"/>
    </row>
    <row r="78" spans="2:13" ht="12" hidden="1">
      <c r="B78" s="303">
        <f t="shared" si="7"/>
      </c>
      <c r="C78" s="293">
        <f t="shared" si="2"/>
      </c>
      <c r="D78" s="278">
        <f>IF(B78&lt;=$E$4*12,(IF(C78=C77,0,-Input!$G$21*Input!$G$22)),"")</f>
      </c>
      <c r="E78" s="278">
        <f>IF(B78&lt;=12*'Cash Flow Data'!$E$4,-($E$9/12)*($E$7*0.001)*$E$6*Input!$G$24,"")</f>
      </c>
      <c r="F78" s="294">
        <f t="shared" si="3"/>
      </c>
      <c r="G78" s="289">
        <f t="shared" si="6"/>
      </c>
      <c r="H78" s="278">
        <f>IF($B78&lt;=$E$4*12,(IF(G78=G77,0,-Input!$G$13*Input!$G$14)),"")</f>
      </c>
      <c r="I78" s="278">
        <f>IF(B78&lt;=$E$4*12,(-($G$7*0.001)*($G$9/12)*Input!$G$24*$G$6),"")</f>
      </c>
      <c r="J78" s="286">
        <f t="shared" si="4"/>
      </c>
      <c r="K78" s="299">
        <f t="shared" si="8"/>
      </c>
      <c r="L78" s="304">
        <f t="shared" si="5"/>
      </c>
      <c r="M78" s="314"/>
    </row>
    <row r="79" spans="2:13" ht="12" hidden="1">
      <c r="B79" s="303">
        <f t="shared" si="7"/>
      </c>
      <c r="C79" s="293">
        <f t="shared" si="2"/>
      </c>
      <c r="D79" s="278">
        <f>IF(B79&lt;=$E$4*12,(IF(C79=C78,0,-Input!$G$21*Input!$G$22)),"")</f>
      </c>
      <c r="E79" s="278">
        <f>IF(B79&lt;=12*'Cash Flow Data'!$E$4,-($E$9/12)*($E$7*0.001)*$E$6*Input!$G$24,"")</f>
      </c>
      <c r="F79" s="294">
        <f t="shared" si="3"/>
      </c>
      <c r="G79" s="289">
        <f t="shared" si="6"/>
      </c>
      <c r="H79" s="278">
        <f>IF($B79&lt;=$E$4*12,(IF(G79=G78,0,-Input!$G$13*Input!$G$14)),"")</f>
      </c>
      <c r="I79" s="278">
        <f>IF(B79&lt;=$E$4*12,(-($G$7*0.001)*($G$9/12)*Input!$G$24*$G$6),"")</f>
      </c>
      <c r="J79" s="286">
        <f t="shared" si="4"/>
      </c>
      <c r="K79" s="299">
        <f t="shared" si="8"/>
      </c>
      <c r="L79" s="304">
        <f t="shared" si="5"/>
      </c>
      <c r="M79" s="314"/>
    </row>
    <row r="80" spans="2:13" ht="12" hidden="1">
      <c r="B80" s="303">
        <f t="shared" si="7"/>
      </c>
      <c r="C80" s="293">
        <f t="shared" si="2"/>
      </c>
      <c r="D80" s="278">
        <f>IF(B80&lt;=$E$4*12,(IF(C80=C79,0,-Input!$G$21*Input!$G$22)),"")</f>
      </c>
      <c r="E80" s="278">
        <f>IF(B80&lt;=12*'Cash Flow Data'!$E$4,-($E$9/12)*($E$7*0.001)*$E$6*Input!$G$24,"")</f>
      </c>
      <c r="F80" s="294">
        <f t="shared" si="3"/>
      </c>
      <c r="G80" s="289">
        <f t="shared" si="6"/>
      </c>
      <c r="H80" s="278">
        <f>IF($B80&lt;=$E$4*12,(IF(G80=G79,0,-Input!$G$13*Input!$G$14)),"")</f>
      </c>
      <c r="I80" s="278">
        <f>IF(B80&lt;=$E$4*12,(-($G$7*0.001)*($G$9/12)*Input!$G$24*$G$6),"")</f>
      </c>
      <c r="J80" s="286">
        <f t="shared" si="4"/>
      </c>
      <c r="K80" s="299">
        <f t="shared" si="8"/>
      </c>
      <c r="L80" s="304">
        <f t="shared" si="5"/>
      </c>
      <c r="M80" s="314"/>
    </row>
    <row r="81" spans="2:13" ht="12" hidden="1">
      <c r="B81" s="303">
        <f t="shared" si="7"/>
      </c>
      <c r="C81" s="293">
        <f t="shared" si="2"/>
      </c>
      <c r="D81" s="278">
        <f>IF(B81&lt;=$E$4*12,(IF(C81=C80,0,-Input!$G$21*Input!$G$22)),"")</f>
      </c>
      <c r="E81" s="278">
        <f>IF(B81&lt;=12*'Cash Flow Data'!$E$4,-($E$9/12)*($E$7*0.001)*$E$6*Input!$G$24,"")</f>
      </c>
      <c r="F81" s="294">
        <f t="shared" si="3"/>
      </c>
      <c r="G81" s="289">
        <f t="shared" si="6"/>
      </c>
      <c r="H81" s="278">
        <f>IF($B81&lt;=$E$4*12,(IF(G81=G80,0,-Input!$G$13*Input!$G$14)),"")</f>
      </c>
      <c r="I81" s="278">
        <f>IF(B81&lt;=$E$4*12,(-($G$7*0.001)*($G$9/12)*Input!$G$24*$G$6),"")</f>
      </c>
      <c r="J81" s="286">
        <f t="shared" si="4"/>
      </c>
      <c r="K81" s="299">
        <f t="shared" si="8"/>
      </c>
      <c r="L81" s="304">
        <f t="shared" si="5"/>
      </c>
      <c r="M81" s="314"/>
    </row>
    <row r="82" spans="2:13" ht="12" hidden="1">
      <c r="B82" s="303">
        <f t="shared" si="7"/>
      </c>
      <c r="C82" s="293">
        <f t="shared" si="2"/>
      </c>
      <c r="D82" s="278">
        <f>IF(B82&lt;=$E$4*12,(IF(C82=C81,0,-Input!$G$21*Input!$G$22)),"")</f>
      </c>
      <c r="E82" s="278">
        <f>IF(B82&lt;=12*'Cash Flow Data'!$E$4,-($E$9/12)*($E$7*0.001)*$E$6*Input!$G$24,"")</f>
      </c>
      <c r="F82" s="294">
        <f t="shared" si="3"/>
      </c>
      <c r="G82" s="289">
        <f t="shared" si="6"/>
      </c>
      <c r="H82" s="278">
        <f>IF($B82&lt;=$E$4*12,(IF(G82=G81,0,-Input!$G$13*Input!$G$14)),"")</f>
      </c>
      <c r="I82" s="278">
        <f>IF(B82&lt;=$E$4*12,(-($G$7*0.001)*($G$9/12)*Input!$G$24*$G$6),"")</f>
      </c>
      <c r="J82" s="286">
        <f t="shared" si="4"/>
      </c>
      <c r="K82" s="299">
        <f t="shared" si="8"/>
      </c>
      <c r="L82" s="304">
        <f t="shared" si="5"/>
      </c>
      <c r="M82" s="314"/>
    </row>
    <row r="83" spans="2:13" ht="12" hidden="1">
      <c r="B83" s="303">
        <f t="shared" si="7"/>
      </c>
      <c r="C83" s="293">
        <f t="shared" si="2"/>
      </c>
      <c r="D83" s="278">
        <f>IF(B83&lt;=$E$4*12,(IF(C83=C82,0,-Input!$G$21*Input!$G$22)),"")</f>
      </c>
      <c r="E83" s="278">
        <f>IF(B83&lt;=12*'Cash Flow Data'!$E$4,-($E$9/12)*($E$7*0.001)*$E$6*Input!$G$24,"")</f>
      </c>
      <c r="F83" s="294">
        <f t="shared" si="3"/>
      </c>
      <c r="G83" s="289">
        <f t="shared" si="6"/>
      </c>
      <c r="H83" s="278">
        <f>IF($B83&lt;=$E$4*12,(IF(G83=G82,0,-Input!$G$13*Input!$G$14)),"")</f>
      </c>
      <c r="I83" s="278">
        <f>IF(B83&lt;=$E$4*12,(-($G$7*0.001)*($G$9/12)*Input!$G$24*$G$6),"")</f>
      </c>
      <c r="J83" s="286">
        <f t="shared" si="4"/>
      </c>
      <c r="K83" s="299">
        <f t="shared" si="8"/>
      </c>
      <c r="L83" s="304">
        <f t="shared" si="5"/>
      </c>
      <c r="M83" s="314"/>
    </row>
    <row r="84" spans="2:13" ht="12" hidden="1">
      <c r="B84" s="303">
        <f t="shared" si="7"/>
      </c>
      <c r="C84" s="293">
        <f t="shared" si="2"/>
      </c>
      <c r="D84" s="278">
        <f>IF(B84&lt;=$E$4*12,(IF(C84=C83,0,-Input!$G$21*Input!$G$22)),"")</f>
      </c>
      <c r="E84" s="278">
        <f>IF(B84&lt;=12*'Cash Flow Data'!$E$4,-($E$9/12)*($E$7*0.001)*$E$6*Input!$G$24,"")</f>
      </c>
      <c r="F84" s="294">
        <f t="shared" si="3"/>
      </c>
      <c r="G84" s="289">
        <f t="shared" si="6"/>
      </c>
      <c r="H84" s="278">
        <f>IF($B84&lt;=$E$4*12,(IF(G84=G83,0,-Input!$G$13*Input!$G$14)),"")</f>
      </c>
      <c r="I84" s="278">
        <f>IF(B84&lt;=$E$4*12,(-($G$7*0.001)*($G$9/12)*Input!$G$24*$G$6),"")</f>
      </c>
      <c r="J84" s="286">
        <f t="shared" si="4"/>
      </c>
      <c r="K84" s="299">
        <f t="shared" si="8"/>
      </c>
      <c r="L84" s="304">
        <f t="shared" si="5"/>
      </c>
      <c r="M84" s="314"/>
    </row>
    <row r="85" spans="2:13" ht="12" hidden="1">
      <c r="B85" s="303">
        <f t="shared" si="7"/>
      </c>
      <c r="C85" s="293">
        <f t="shared" si="2"/>
      </c>
      <c r="D85" s="278">
        <f>IF(B85&lt;=$E$4*12,(IF(C85=C84,0,-Input!$G$21*Input!$G$22)),"")</f>
      </c>
      <c r="E85" s="278">
        <f>IF(B85&lt;=12*'Cash Flow Data'!$E$4,-($E$9/12)*($E$7*0.001)*$E$6*Input!$G$24,"")</f>
      </c>
      <c r="F85" s="294">
        <f t="shared" si="3"/>
      </c>
      <c r="G85" s="289">
        <f t="shared" si="6"/>
      </c>
      <c r="H85" s="278">
        <f>IF($B85&lt;=$E$4*12,(IF(G85=G84,0,-Input!$G$13*Input!$G$14)),"")</f>
      </c>
      <c r="I85" s="278">
        <f>IF(B85&lt;=$E$4*12,(-($G$7*0.001)*($G$9/12)*Input!$G$24*$G$6),"")</f>
      </c>
      <c r="J85" s="286">
        <f t="shared" si="4"/>
      </c>
      <c r="K85" s="299">
        <f t="shared" si="8"/>
      </c>
      <c r="L85" s="304">
        <f t="shared" si="5"/>
      </c>
      <c r="M85" s="314"/>
    </row>
    <row r="86" spans="2:13" ht="12" hidden="1">
      <c r="B86" s="303">
        <f t="shared" si="7"/>
      </c>
      <c r="C86" s="293">
        <f t="shared" si="2"/>
      </c>
      <c r="D86" s="278">
        <f>IF(B86&lt;=$E$4*12,(IF(C86=C85,0,-Input!$G$21*Input!$G$22)),"")</f>
      </c>
      <c r="E86" s="278">
        <f>IF(B86&lt;=12*'Cash Flow Data'!$E$4,-($E$9/12)*($E$7*0.001)*$E$6*Input!$G$24,"")</f>
      </c>
      <c r="F86" s="294">
        <f t="shared" si="3"/>
      </c>
      <c r="G86" s="289">
        <f t="shared" si="6"/>
      </c>
      <c r="H86" s="278">
        <f>IF($B86&lt;=$E$4*12,(IF(G86=G85,0,-Input!$G$13*Input!$G$14)),"")</f>
      </c>
      <c r="I86" s="278">
        <f>IF(B86&lt;=$E$4*12,(-($G$7*0.001)*($G$9/12)*Input!$G$24*$G$6),"")</f>
      </c>
      <c r="J86" s="286">
        <f t="shared" si="4"/>
      </c>
      <c r="K86" s="299">
        <f t="shared" si="8"/>
      </c>
      <c r="L86" s="304">
        <f t="shared" si="5"/>
      </c>
      <c r="M86" s="314"/>
    </row>
    <row r="87" spans="2:13" ht="12" hidden="1">
      <c r="B87" s="303">
        <f t="shared" si="7"/>
      </c>
      <c r="C87" s="293">
        <f t="shared" si="2"/>
      </c>
      <c r="D87" s="278">
        <f>IF(B87&lt;=$E$4*12,(IF(C87=C86,0,-Input!$G$21*Input!$G$22)),"")</f>
      </c>
      <c r="E87" s="278">
        <f>IF(B87&lt;=12*'Cash Flow Data'!$E$4,-($E$9/12)*($E$7*0.001)*$E$6*Input!$G$24,"")</f>
      </c>
      <c r="F87" s="294">
        <f t="shared" si="3"/>
      </c>
      <c r="G87" s="289">
        <f t="shared" si="6"/>
      </c>
      <c r="H87" s="278">
        <f>IF($B87&lt;=$E$4*12,(IF(G87=G86,0,-Input!$G$13*Input!$G$14)),"")</f>
      </c>
      <c r="I87" s="278">
        <f>IF(B87&lt;=$E$4*12,(-($G$7*0.001)*($G$9/12)*Input!$G$24*$G$6),"")</f>
      </c>
      <c r="J87" s="286">
        <f t="shared" si="4"/>
      </c>
      <c r="K87" s="299">
        <f t="shared" si="8"/>
      </c>
      <c r="L87" s="304">
        <f t="shared" si="5"/>
      </c>
      <c r="M87" s="314"/>
    </row>
    <row r="88" spans="2:13" ht="12" hidden="1">
      <c r="B88" s="303">
        <f t="shared" si="7"/>
      </c>
      <c r="C88" s="293">
        <f aca="true" t="shared" si="9" ref="C88:C142">IF(B88&lt;=$E$4*12,(IF(($E$9/12)*B88/($E$8*C87)&gt;=1,C87+1,C87)),"")</f>
      </c>
      <c r="D88" s="278">
        <f>IF(B88&lt;=$E$4*12,(IF(C88=C87,0,-Input!$G$21*Input!$G$22)),"")</f>
      </c>
      <c r="E88" s="278">
        <f>IF(B88&lt;=12*'Cash Flow Data'!$E$4,-($E$9/12)*($E$7*0.001)*$E$6*Input!$G$24,"")</f>
      </c>
      <c r="F88" s="294">
        <f aca="true" t="shared" si="10" ref="F88:F142">IF(B88&lt;=$E$4*12,SUM(D88:E88),"")</f>
      </c>
      <c r="G88" s="289">
        <f t="shared" si="6"/>
      </c>
      <c r="H88" s="278">
        <f>IF($B88&lt;=$E$4*12,(IF(G88=G87,0,-Input!$G$13*Input!$G$14)),"")</f>
      </c>
      <c r="I88" s="278">
        <f>IF(B88&lt;=$E$4*12,(-($G$7*0.001)*($G$9/12)*Input!$G$24*$G$6),"")</f>
      </c>
      <c r="J88" s="286">
        <f aca="true" t="shared" si="11" ref="J88:J142">IF(B88&lt;=$E$4*12,SUM(H88:I88),"")</f>
      </c>
      <c r="K88" s="299">
        <f t="shared" si="8"/>
      </c>
      <c r="L88" s="304">
        <f aca="true" t="shared" si="12" ref="L88:L142">IF(B88&lt;=$E$4*12,K88+L87,"")</f>
      </c>
      <c r="M88" s="314"/>
    </row>
    <row r="89" spans="2:13" ht="12" hidden="1">
      <c r="B89" s="303">
        <f t="shared" si="7"/>
      </c>
      <c r="C89" s="293">
        <f t="shared" si="9"/>
      </c>
      <c r="D89" s="278">
        <f>IF(B89&lt;=$E$4*12,(IF(C89=C88,0,-Input!$G$21*Input!$G$22)),"")</f>
      </c>
      <c r="E89" s="278">
        <f>IF(B89&lt;=12*'Cash Flow Data'!$E$4,-($E$9/12)*($E$7*0.001)*$E$6*Input!$G$24,"")</f>
      </c>
      <c r="F89" s="294">
        <f t="shared" si="10"/>
      </c>
      <c r="G89" s="289">
        <f t="shared" si="6"/>
      </c>
      <c r="H89" s="278">
        <f>IF($B89&lt;=$E$4*12,(IF(G89=G88,0,-Input!$G$13*Input!$G$14)),"")</f>
      </c>
      <c r="I89" s="278">
        <f>IF(B89&lt;=$E$4*12,(-($G$7*0.001)*($G$9/12)*Input!$G$24*$G$6),"")</f>
      </c>
      <c r="J89" s="286">
        <f t="shared" si="11"/>
      </c>
      <c r="K89" s="299">
        <f t="shared" si="8"/>
      </c>
      <c r="L89" s="304">
        <f t="shared" si="12"/>
      </c>
      <c r="M89" s="314"/>
    </row>
    <row r="90" spans="2:13" ht="12" hidden="1">
      <c r="B90" s="303">
        <f t="shared" si="7"/>
      </c>
      <c r="C90" s="293">
        <f t="shared" si="9"/>
      </c>
      <c r="D90" s="278">
        <f>IF(B90&lt;=$E$4*12,(IF(C90=C89,0,-Input!$G$21*Input!$G$22)),"")</f>
      </c>
      <c r="E90" s="278">
        <f>IF(B90&lt;=12*'Cash Flow Data'!$E$4,-($E$9/12)*($E$7*0.001)*$E$6*Input!$G$24,"")</f>
      </c>
      <c r="F90" s="294">
        <f t="shared" si="10"/>
      </c>
      <c r="G90" s="289">
        <f aca="true" t="shared" si="13" ref="G90:G142">IF(B90&lt;=$E$4*12,(IF((($G$9/12)*$B90)/($G$8*G89)&gt;=1,G89+1,G89)),"")</f>
      </c>
      <c r="H90" s="278">
        <f>IF($B90&lt;=$E$4*12,(IF(G90=G89,0,-Input!$G$13*Input!$G$14)),"")</f>
      </c>
      <c r="I90" s="278">
        <f>IF(B90&lt;=$E$4*12,(-($G$7*0.001)*($G$9/12)*Input!$G$24*$G$6),"")</f>
      </c>
      <c r="J90" s="286">
        <f t="shared" si="11"/>
      </c>
      <c r="K90" s="299">
        <f t="shared" si="8"/>
      </c>
      <c r="L90" s="304">
        <f t="shared" si="12"/>
      </c>
      <c r="M90" s="314"/>
    </row>
    <row r="91" spans="2:13" ht="12" hidden="1">
      <c r="B91" s="303">
        <f t="shared" si="7"/>
      </c>
      <c r="C91" s="293">
        <f t="shared" si="9"/>
      </c>
      <c r="D91" s="278">
        <f>IF(B91&lt;=$E$4*12,(IF(C91=C90,0,-Input!$G$21*Input!$G$22)),"")</f>
      </c>
      <c r="E91" s="278">
        <f>IF(B91&lt;=12*'Cash Flow Data'!$E$4,-($E$9/12)*($E$7*0.001)*$E$6*Input!$G$24,"")</f>
      </c>
      <c r="F91" s="294">
        <f t="shared" si="10"/>
      </c>
      <c r="G91" s="289">
        <f t="shared" si="13"/>
      </c>
      <c r="H91" s="278">
        <f>IF($B91&lt;=$E$4*12,(IF(G91=G90,0,-Input!$G$13*Input!$G$14)),"")</f>
      </c>
      <c r="I91" s="278">
        <f>IF(B91&lt;=$E$4*12,(-($G$7*0.001)*($G$9/12)*Input!$G$24*$G$6),"")</f>
      </c>
      <c r="J91" s="286">
        <f t="shared" si="11"/>
      </c>
      <c r="K91" s="299">
        <f t="shared" si="8"/>
      </c>
      <c r="L91" s="304">
        <f t="shared" si="12"/>
      </c>
      <c r="M91" s="314"/>
    </row>
    <row r="92" spans="2:13" ht="12" hidden="1">
      <c r="B92" s="303">
        <f t="shared" si="7"/>
      </c>
      <c r="C92" s="293">
        <f t="shared" si="9"/>
      </c>
      <c r="D92" s="278">
        <f>IF(B92&lt;=$E$4*12,(IF(C92=C91,0,-Input!$G$21*Input!$G$22)),"")</f>
      </c>
      <c r="E92" s="278">
        <f>IF(B92&lt;=12*'Cash Flow Data'!$E$4,-($E$9/12)*($E$7*0.001)*$E$6*Input!$G$24,"")</f>
      </c>
      <c r="F92" s="294">
        <f t="shared" si="10"/>
      </c>
      <c r="G92" s="289">
        <f t="shared" si="13"/>
      </c>
      <c r="H92" s="278">
        <f>IF($B92&lt;=$E$4*12,(IF(G92=G91,0,-Input!$G$13*Input!$G$14)),"")</f>
      </c>
      <c r="I92" s="278">
        <f>IF(B92&lt;=$E$4*12,(-($G$7*0.001)*($G$9/12)*Input!$G$24*$G$6),"")</f>
      </c>
      <c r="J92" s="286">
        <f t="shared" si="11"/>
      </c>
      <c r="K92" s="299">
        <f t="shared" si="8"/>
      </c>
      <c r="L92" s="304">
        <f t="shared" si="12"/>
      </c>
      <c r="M92" s="314"/>
    </row>
    <row r="93" spans="2:13" ht="12" hidden="1">
      <c r="B93" s="303">
        <f t="shared" si="7"/>
      </c>
      <c r="C93" s="293">
        <f t="shared" si="9"/>
      </c>
      <c r="D93" s="278">
        <f>IF(B93&lt;=$E$4*12,(IF(C93=C92,0,-Input!$G$21*Input!$G$22)),"")</f>
      </c>
      <c r="E93" s="278">
        <f>IF(B93&lt;=12*'Cash Flow Data'!$E$4,-($E$9/12)*($E$7*0.001)*$E$6*Input!$G$24,"")</f>
      </c>
      <c r="F93" s="294">
        <f t="shared" si="10"/>
      </c>
      <c r="G93" s="289">
        <f t="shared" si="13"/>
      </c>
      <c r="H93" s="278">
        <f>IF($B93&lt;=$E$4*12,(IF(G93=G92,0,-Input!$G$13*Input!$G$14)),"")</f>
      </c>
      <c r="I93" s="278">
        <f>IF(B93&lt;=$E$4*12,(-($G$7*0.001)*($G$9/12)*Input!$G$24*$G$6),"")</f>
      </c>
      <c r="J93" s="286">
        <f t="shared" si="11"/>
      </c>
      <c r="K93" s="299">
        <f t="shared" si="8"/>
      </c>
      <c r="L93" s="304">
        <f t="shared" si="12"/>
      </c>
      <c r="M93" s="314"/>
    </row>
    <row r="94" spans="2:13" ht="12" hidden="1">
      <c r="B94" s="303">
        <f t="shared" si="7"/>
      </c>
      <c r="C94" s="293">
        <f t="shared" si="9"/>
      </c>
      <c r="D94" s="278">
        <f>IF(B94&lt;=$E$4*12,(IF(C94=C93,0,-Input!$G$21*Input!$G$22)),"")</f>
      </c>
      <c r="E94" s="278">
        <f>IF(B94&lt;=12*'Cash Flow Data'!$E$4,-($E$9/12)*($E$7*0.001)*$E$6*Input!$G$24,"")</f>
      </c>
      <c r="F94" s="294">
        <f t="shared" si="10"/>
      </c>
      <c r="G94" s="289">
        <f t="shared" si="13"/>
      </c>
      <c r="H94" s="278">
        <f>IF($B94&lt;=$E$4*12,(IF(G94=G93,0,-Input!$G$13*Input!$G$14)),"")</f>
      </c>
      <c r="I94" s="278">
        <f>IF(B94&lt;=$E$4*12,(-($G$7*0.001)*($G$9/12)*Input!$G$24*$G$6),"")</f>
      </c>
      <c r="J94" s="286">
        <f t="shared" si="11"/>
      </c>
      <c r="K94" s="299">
        <f t="shared" si="8"/>
      </c>
      <c r="L94" s="304">
        <f t="shared" si="12"/>
      </c>
      <c r="M94" s="314"/>
    </row>
    <row r="95" spans="2:13" ht="12" hidden="1">
      <c r="B95" s="303">
        <f t="shared" si="7"/>
      </c>
      <c r="C95" s="293">
        <f t="shared" si="9"/>
      </c>
      <c r="D95" s="278">
        <f>IF(B95&lt;=$E$4*12,(IF(C95=C94,0,-Input!$G$21*Input!$G$22)),"")</f>
      </c>
      <c r="E95" s="278">
        <f>IF(B95&lt;=12*'Cash Flow Data'!$E$4,-($E$9/12)*($E$7*0.001)*$E$6*Input!$G$24,"")</f>
      </c>
      <c r="F95" s="294">
        <f t="shared" si="10"/>
      </c>
      <c r="G95" s="289">
        <f t="shared" si="13"/>
      </c>
      <c r="H95" s="278">
        <f>IF($B95&lt;=$E$4*12,(IF(G95=G94,0,-Input!$G$13*Input!$G$14)),"")</f>
      </c>
      <c r="I95" s="278">
        <f>IF(B95&lt;=$E$4*12,(-($G$7*0.001)*($G$9/12)*Input!$G$24*$G$6),"")</f>
      </c>
      <c r="J95" s="286">
        <f t="shared" si="11"/>
      </c>
      <c r="K95" s="299">
        <f t="shared" si="8"/>
      </c>
      <c r="L95" s="304">
        <f t="shared" si="12"/>
      </c>
      <c r="M95" s="314"/>
    </row>
    <row r="96" spans="2:13" ht="12" hidden="1">
      <c r="B96" s="303">
        <f t="shared" si="7"/>
      </c>
      <c r="C96" s="293">
        <f t="shared" si="9"/>
      </c>
      <c r="D96" s="278">
        <f>IF(B96&lt;=$E$4*12,(IF(C96=C95,0,-Input!$G$21*Input!$G$22)),"")</f>
      </c>
      <c r="E96" s="278">
        <f>IF(B96&lt;=12*'Cash Flow Data'!$E$4,-($E$9/12)*($E$7*0.001)*$E$6*Input!$G$24,"")</f>
      </c>
      <c r="F96" s="294">
        <f t="shared" si="10"/>
      </c>
      <c r="G96" s="289">
        <f t="shared" si="13"/>
      </c>
      <c r="H96" s="278">
        <f>IF($B96&lt;=$E$4*12,(IF(G96=G95,0,-Input!$G$13*Input!$G$14)),"")</f>
      </c>
      <c r="I96" s="278">
        <f>IF(B96&lt;=$E$4*12,(-($G$7*0.001)*($G$9/12)*Input!$G$24*$G$6),"")</f>
      </c>
      <c r="J96" s="286">
        <f t="shared" si="11"/>
      </c>
      <c r="K96" s="299">
        <f t="shared" si="8"/>
      </c>
      <c r="L96" s="304">
        <f t="shared" si="12"/>
      </c>
      <c r="M96" s="314"/>
    </row>
    <row r="97" spans="2:13" ht="12" hidden="1">
      <c r="B97" s="303">
        <f t="shared" si="7"/>
      </c>
      <c r="C97" s="293">
        <f t="shared" si="9"/>
      </c>
      <c r="D97" s="278">
        <f>IF(B97&lt;=$E$4*12,(IF(C97=C96,0,-Input!$G$21*Input!$G$22)),"")</f>
      </c>
      <c r="E97" s="278">
        <f>IF(B97&lt;=12*'Cash Flow Data'!$E$4,-($E$9/12)*($E$7*0.001)*$E$6*Input!$G$24,"")</f>
      </c>
      <c r="F97" s="294">
        <f t="shared" si="10"/>
      </c>
      <c r="G97" s="289">
        <f t="shared" si="13"/>
      </c>
      <c r="H97" s="278">
        <f>IF($B97&lt;=$E$4*12,(IF(G97=G96,0,-Input!$G$13*Input!$G$14)),"")</f>
      </c>
      <c r="I97" s="278">
        <f>IF(B97&lt;=$E$4*12,(-($G$7*0.001)*($G$9/12)*Input!$G$24*$G$6),"")</f>
      </c>
      <c r="J97" s="286">
        <f t="shared" si="11"/>
      </c>
      <c r="K97" s="299">
        <f t="shared" si="8"/>
      </c>
      <c r="L97" s="304">
        <f t="shared" si="12"/>
      </c>
      <c r="M97" s="314"/>
    </row>
    <row r="98" spans="2:13" ht="12" hidden="1">
      <c r="B98" s="303">
        <f t="shared" si="7"/>
      </c>
      <c r="C98" s="293">
        <f t="shared" si="9"/>
      </c>
      <c r="D98" s="278">
        <f>IF(B98&lt;=$E$4*12,(IF(C98=C97,0,-Input!$G$21*Input!$G$22)),"")</f>
      </c>
      <c r="E98" s="278">
        <f>IF(B98&lt;=12*'Cash Flow Data'!$E$4,-($E$9/12)*($E$7*0.001)*$E$6*Input!$G$24,"")</f>
      </c>
      <c r="F98" s="294">
        <f t="shared" si="10"/>
      </c>
      <c r="G98" s="289">
        <f t="shared" si="13"/>
      </c>
      <c r="H98" s="278">
        <f>IF($B98&lt;=$E$4*12,(IF(G98=G97,0,-Input!$G$13*Input!$G$14)),"")</f>
      </c>
      <c r="I98" s="278">
        <f>IF(B98&lt;=$E$4*12,(-($G$7*0.001)*($G$9/12)*Input!$G$24*$G$6),"")</f>
      </c>
      <c r="J98" s="286">
        <f t="shared" si="11"/>
      </c>
      <c r="K98" s="299">
        <f t="shared" si="8"/>
      </c>
      <c r="L98" s="304">
        <f t="shared" si="12"/>
      </c>
      <c r="M98" s="314"/>
    </row>
    <row r="99" spans="2:13" ht="12" hidden="1">
      <c r="B99" s="303">
        <f aca="true" t="shared" si="14" ref="B99:B142">IF(B98&lt;$E$4*12,B98+1,"")</f>
      </c>
      <c r="C99" s="293">
        <f t="shared" si="9"/>
      </c>
      <c r="D99" s="278">
        <f>IF(B99&lt;=$E$4*12,(IF(C99=C98,0,-Input!$G$21*Input!$G$22)),"")</f>
      </c>
      <c r="E99" s="278">
        <f>IF(B99&lt;=12*'Cash Flow Data'!$E$4,-($E$9/12)*($E$7*0.001)*$E$6*Input!$G$24,"")</f>
      </c>
      <c r="F99" s="294">
        <f t="shared" si="10"/>
      </c>
      <c r="G99" s="289">
        <f t="shared" si="13"/>
      </c>
      <c r="H99" s="278">
        <f>IF($B99&lt;=$E$4*12,(IF(G99=G98,0,-Input!$G$13*Input!$G$14)),"")</f>
      </c>
      <c r="I99" s="278">
        <f>IF(B99&lt;=$E$4*12,(-($G$7*0.001)*($G$9/12)*Input!$G$24*$G$6),"")</f>
      </c>
      <c r="J99" s="286">
        <f t="shared" si="11"/>
      </c>
      <c r="K99" s="299">
        <f t="shared" si="8"/>
      </c>
      <c r="L99" s="304">
        <f t="shared" si="12"/>
      </c>
      <c r="M99" s="314"/>
    </row>
    <row r="100" spans="2:13" ht="12" hidden="1">
      <c r="B100" s="303">
        <f t="shared" si="14"/>
      </c>
      <c r="C100" s="293">
        <f t="shared" si="9"/>
      </c>
      <c r="D100" s="278">
        <f>IF(B100&lt;=$E$4*12,(IF(C100=C99,0,-Input!$G$21*Input!$G$22)),"")</f>
      </c>
      <c r="E100" s="278">
        <f>IF(B100&lt;=12*'Cash Flow Data'!$E$4,-($E$9/12)*($E$7*0.001)*$E$6*Input!$G$24,"")</f>
      </c>
      <c r="F100" s="294">
        <f t="shared" si="10"/>
      </c>
      <c r="G100" s="289">
        <f t="shared" si="13"/>
      </c>
      <c r="H100" s="278">
        <f>IF($B100&lt;=$E$4*12,(IF(G100=G99,0,-Input!$G$13*Input!$G$14)),"")</f>
      </c>
      <c r="I100" s="278">
        <f>IF(B100&lt;=$E$4*12,(-($G$7*0.001)*($G$9/12)*Input!$G$24*$G$6),"")</f>
      </c>
      <c r="J100" s="286">
        <f t="shared" si="11"/>
      </c>
      <c r="K100" s="299">
        <f t="shared" si="8"/>
      </c>
      <c r="L100" s="304">
        <f t="shared" si="12"/>
      </c>
      <c r="M100" s="314"/>
    </row>
    <row r="101" spans="2:13" ht="12" hidden="1">
      <c r="B101" s="303">
        <f t="shared" si="14"/>
      </c>
      <c r="C101" s="293">
        <f t="shared" si="9"/>
      </c>
      <c r="D101" s="278">
        <f>IF(B101&lt;=$E$4*12,(IF(C101=C100,0,-Input!$G$21*Input!$G$22)),"")</f>
      </c>
      <c r="E101" s="278">
        <f>IF(B101&lt;=12*'Cash Flow Data'!$E$4,-($E$9/12)*($E$7*0.001)*$E$6*Input!$G$24,"")</f>
      </c>
      <c r="F101" s="294">
        <f t="shared" si="10"/>
      </c>
      <c r="G101" s="289">
        <f t="shared" si="13"/>
      </c>
      <c r="H101" s="278">
        <f>IF($B101&lt;=$E$4*12,(IF(G101=G100,0,-Input!$G$13*Input!$G$14)),"")</f>
      </c>
      <c r="I101" s="278">
        <f>IF(B101&lt;=$E$4*12,(-($G$7*0.001)*($G$9/12)*Input!$G$24*$G$6),"")</f>
      </c>
      <c r="J101" s="286">
        <f t="shared" si="11"/>
      </c>
      <c r="K101" s="299">
        <f t="shared" si="8"/>
      </c>
      <c r="L101" s="304">
        <f t="shared" si="12"/>
      </c>
      <c r="M101" s="314"/>
    </row>
    <row r="102" spans="2:13" ht="12" hidden="1">
      <c r="B102" s="303">
        <f t="shared" si="14"/>
      </c>
      <c r="C102" s="293">
        <f t="shared" si="9"/>
      </c>
      <c r="D102" s="278">
        <f>IF(B102&lt;=$E$4*12,(IF(C102=C101,0,-Input!$G$21*Input!$G$22)),"")</f>
      </c>
      <c r="E102" s="278">
        <f>IF(B102&lt;=12*'Cash Flow Data'!$E$4,-($E$9/12)*($E$7*0.001)*$E$6*Input!$G$24,"")</f>
      </c>
      <c r="F102" s="294">
        <f t="shared" si="10"/>
      </c>
      <c r="G102" s="289">
        <f t="shared" si="13"/>
      </c>
      <c r="H102" s="278">
        <f>IF($B102&lt;=$E$4*12,(IF(G102=G101,0,-Input!$G$13*Input!$G$14)),"")</f>
      </c>
      <c r="I102" s="278">
        <f>IF(B102&lt;=$E$4*12,(-($G$7*0.001)*($G$9/12)*Input!$G$24*$G$6),"")</f>
      </c>
      <c r="J102" s="286">
        <f t="shared" si="11"/>
      </c>
      <c r="K102" s="299">
        <f t="shared" si="8"/>
      </c>
      <c r="L102" s="304">
        <f t="shared" si="12"/>
      </c>
      <c r="M102" s="314"/>
    </row>
    <row r="103" spans="2:13" ht="12" hidden="1">
      <c r="B103" s="303">
        <f t="shared" si="14"/>
      </c>
      <c r="C103" s="293">
        <f t="shared" si="9"/>
      </c>
      <c r="D103" s="278">
        <f>IF(B103&lt;=$E$4*12,(IF(C103=C102,0,-Input!$G$21*Input!$G$22)),"")</f>
      </c>
      <c r="E103" s="278">
        <f>IF(B103&lt;=12*'Cash Flow Data'!$E$4,-($E$9/12)*($E$7*0.001)*$E$6*Input!$G$24,"")</f>
      </c>
      <c r="F103" s="294">
        <f t="shared" si="10"/>
      </c>
      <c r="G103" s="289">
        <f t="shared" si="13"/>
      </c>
      <c r="H103" s="278">
        <f>IF($B103&lt;=$E$4*12,(IF(G103=G102,0,-Input!$G$13*Input!$G$14)),"")</f>
      </c>
      <c r="I103" s="278">
        <f>IF(B103&lt;=$E$4*12,(-($G$7*0.001)*($G$9/12)*Input!$G$24*$G$6),"")</f>
      </c>
      <c r="J103" s="286">
        <f t="shared" si="11"/>
      </c>
      <c r="K103" s="299">
        <f t="shared" si="8"/>
      </c>
      <c r="L103" s="304">
        <f t="shared" si="12"/>
      </c>
      <c r="M103" s="314"/>
    </row>
    <row r="104" spans="2:13" ht="12" hidden="1">
      <c r="B104" s="303">
        <f t="shared" si="14"/>
      </c>
      <c r="C104" s="293">
        <f t="shared" si="9"/>
      </c>
      <c r="D104" s="278">
        <f>IF(B104&lt;=$E$4*12,(IF(C104=C103,0,-Input!$G$21*Input!$G$22)),"")</f>
      </c>
      <c r="E104" s="278">
        <f>IF(B104&lt;=12*'Cash Flow Data'!$E$4,-($E$9/12)*($E$7*0.001)*$E$6*Input!$G$24,"")</f>
      </c>
      <c r="F104" s="294">
        <f t="shared" si="10"/>
      </c>
      <c r="G104" s="289">
        <f t="shared" si="13"/>
      </c>
      <c r="H104" s="278">
        <f>IF($B104&lt;=$E$4*12,(IF(G104=G103,0,-Input!$G$13*Input!$G$14)),"")</f>
      </c>
      <c r="I104" s="278">
        <f>IF(B104&lt;=$E$4*12,(-($G$7*0.001)*($G$9/12)*Input!$G$24*$G$6),"")</f>
      </c>
      <c r="J104" s="286">
        <f t="shared" si="11"/>
      </c>
      <c r="K104" s="299">
        <f aca="true" t="shared" si="15" ref="K104:K142">IF(B104&lt;=$E$4*12,F104-J104,"")</f>
      </c>
      <c r="L104" s="304">
        <f t="shared" si="12"/>
      </c>
      <c r="M104" s="314"/>
    </row>
    <row r="105" spans="2:13" ht="12" hidden="1">
      <c r="B105" s="303">
        <f t="shared" si="14"/>
      </c>
      <c r="C105" s="293">
        <f t="shared" si="9"/>
      </c>
      <c r="D105" s="278">
        <f>IF(B105&lt;=$E$4*12,(IF(C105=C104,0,-Input!$G$21*Input!$G$22)),"")</f>
      </c>
      <c r="E105" s="278">
        <f>IF(B105&lt;=12*'Cash Flow Data'!$E$4,-($E$9/12)*($E$7*0.001)*$E$6*Input!$G$24,"")</f>
      </c>
      <c r="F105" s="294">
        <f t="shared" si="10"/>
      </c>
      <c r="G105" s="289">
        <f t="shared" si="13"/>
      </c>
      <c r="H105" s="278">
        <f>IF($B105&lt;=$E$4*12,(IF(G105=G104,0,-Input!$G$13*Input!$G$14)),"")</f>
      </c>
      <c r="I105" s="278">
        <f>IF(B105&lt;=$E$4*12,(-($G$7*0.001)*($G$9/12)*Input!$G$24*$G$6),"")</f>
      </c>
      <c r="J105" s="286">
        <f t="shared" si="11"/>
      </c>
      <c r="K105" s="299">
        <f t="shared" si="15"/>
      </c>
      <c r="L105" s="304">
        <f t="shared" si="12"/>
      </c>
      <c r="M105" s="314"/>
    </row>
    <row r="106" spans="2:13" ht="12" hidden="1">
      <c r="B106" s="303">
        <f t="shared" si="14"/>
      </c>
      <c r="C106" s="293">
        <f t="shared" si="9"/>
      </c>
      <c r="D106" s="278">
        <f>IF(B106&lt;=$E$4*12,(IF(C106=C105,0,-Input!$G$21*Input!$G$22)),"")</f>
      </c>
      <c r="E106" s="278">
        <f>IF(B106&lt;=12*'Cash Flow Data'!$E$4,-($E$9/12)*($E$7*0.001)*$E$6*Input!$G$24,"")</f>
      </c>
      <c r="F106" s="294">
        <f t="shared" si="10"/>
      </c>
      <c r="G106" s="289">
        <f t="shared" si="13"/>
      </c>
      <c r="H106" s="278">
        <f>IF($B106&lt;=$E$4*12,(IF(G106=G105,0,-Input!$G$13*Input!$G$14)),"")</f>
      </c>
      <c r="I106" s="278">
        <f>IF(B106&lt;=$E$4*12,(-($G$7*0.001)*($G$9/12)*Input!$G$24*$G$6),"")</f>
      </c>
      <c r="J106" s="286">
        <f t="shared" si="11"/>
      </c>
      <c r="K106" s="299">
        <f t="shared" si="15"/>
      </c>
      <c r="L106" s="304">
        <f t="shared" si="12"/>
      </c>
      <c r="M106" s="314"/>
    </row>
    <row r="107" spans="2:13" ht="12" hidden="1">
      <c r="B107" s="303">
        <f t="shared" si="14"/>
      </c>
      <c r="C107" s="293">
        <f t="shared" si="9"/>
      </c>
      <c r="D107" s="278">
        <f>IF(B107&lt;=$E$4*12,(IF(C107=C106,0,-Input!$G$21*Input!$G$22)),"")</f>
      </c>
      <c r="E107" s="278">
        <f>IF(B107&lt;=12*'Cash Flow Data'!$E$4,-($E$9/12)*($E$7*0.001)*$E$6*Input!$G$24,"")</f>
      </c>
      <c r="F107" s="294">
        <f t="shared" si="10"/>
      </c>
      <c r="G107" s="289">
        <f t="shared" si="13"/>
      </c>
      <c r="H107" s="278">
        <f>IF($B107&lt;=$E$4*12,(IF(G107=G106,0,-Input!$G$13*Input!$G$14)),"")</f>
      </c>
      <c r="I107" s="278">
        <f>IF(B107&lt;=$E$4*12,(-($G$7*0.001)*($G$9/12)*Input!$G$24*$G$6),"")</f>
      </c>
      <c r="J107" s="286">
        <f t="shared" si="11"/>
      </c>
      <c r="K107" s="299">
        <f t="shared" si="15"/>
      </c>
      <c r="L107" s="304">
        <f t="shared" si="12"/>
      </c>
      <c r="M107" s="314"/>
    </row>
    <row r="108" spans="2:13" ht="12" hidden="1">
      <c r="B108" s="303">
        <f t="shared" si="14"/>
      </c>
      <c r="C108" s="293">
        <f t="shared" si="9"/>
      </c>
      <c r="D108" s="278">
        <f>IF(B108&lt;=$E$4*12,(IF(C108=C107,0,-Input!$G$21*Input!$G$22)),"")</f>
      </c>
      <c r="E108" s="278">
        <f>IF(B108&lt;=12*'Cash Flow Data'!$E$4,-($E$9/12)*($E$7*0.001)*$E$6*Input!$G$24,"")</f>
      </c>
      <c r="F108" s="294">
        <f t="shared" si="10"/>
      </c>
      <c r="G108" s="289">
        <f t="shared" si="13"/>
      </c>
      <c r="H108" s="278">
        <f>IF($B108&lt;=$E$4*12,(IF(G108=G107,0,-Input!$G$13*Input!$G$14)),"")</f>
      </c>
      <c r="I108" s="278">
        <f>IF(B108&lt;=$E$4*12,(-($G$7*0.001)*($G$9/12)*Input!$G$24*$G$6),"")</f>
      </c>
      <c r="J108" s="286">
        <f t="shared" si="11"/>
      </c>
      <c r="K108" s="299">
        <f t="shared" si="15"/>
      </c>
      <c r="L108" s="304">
        <f t="shared" si="12"/>
      </c>
      <c r="M108" s="314"/>
    </row>
    <row r="109" spans="2:13" ht="12" hidden="1">
      <c r="B109" s="303">
        <f t="shared" si="14"/>
      </c>
      <c r="C109" s="293">
        <f t="shared" si="9"/>
      </c>
      <c r="D109" s="278">
        <f>IF(B109&lt;=$E$4*12,(IF(C109=C108,0,-Input!$G$21*Input!$G$22)),"")</f>
      </c>
      <c r="E109" s="278">
        <f>IF(B109&lt;=12*'Cash Flow Data'!$E$4,-($E$9/12)*($E$7*0.001)*$E$6*Input!$G$24,"")</f>
      </c>
      <c r="F109" s="294">
        <f t="shared" si="10"/>
      </c>
      <c r="G109" s="289">
        <f t="shared" si="13"/>
      </c>
      <c r="H109" s="278">
        <f>IF($B109&lt;=$E$4*12,(IF(G109=G108,0,-Input!$G$13*Input!$G$14)),"")</f>
      </c>
      <c r="I109" s="278">
        <f>IF(B109&lt;=$E$4*12,(-($G$7*0.001)*($G$9/12)*Input!$G$24*$G$6),"")</f>
      </c>
      <c r="J109" s="286">
        <f t="shared" si="11"/>
      </c>
      <c r="K109" s="299">
        <f t="shared" si="15"/>
      </c>
      <c r="L109" s="304">
        <f t="shared" si="12"/>
      </c>
      <c r="M109" s="314"/>
    </row>
    <row r="110" spans="2:13" ht="12" hidden="1">
      <c r="B110" s="303">
        <f t="shared" si="14"/>
      </c>
      <c r="C110" s="293">
        <f t="shared" si="9"/>
      </c>
      <c r="D110" s="278">
        <f>IF(B110&lt;=$E$4*12,(IF(C110=C109,0,-Input!$G$21*Input!$G$22)),"")</f>
      </c>
      <c r="E110" s="278">
        <f>IF(B110&lt;=12*'Cash Flow Data'!$E$4,-($E$9/12)*($E$7*0.001)*$E$6*Input!$G$24,"")</f>
      </c>
      <c r="F110" s="294">
        <f t="shared" si="10"/>
      </c>
      <c r="G110" s="289">
        <f t="shared" si="13"/>
      </c>
      <c r="H110" s="278">
        <f>IF($B110&lt;=$E$4*12,(IF(G110=G109,0,-Input!$G$13*Input!$G$14)),"")</f>
      </c>
      <c r="I110" s="278">
        <f>IF(B110&lt;=$E$4*12,(-($G$7*0.001)*($G$9/12)*Input!$G$24*$G$6),"")</f>
      </c>
      <c r="J110" s="286">
        <f t="shared" si="11"/>
      </c>
      <c r="K110" s="299">
        <f t="shared" si="15"/>
      </c>
      <c r="L110" s="304">
        <f t="shared" si="12"/>
      </c>
      <c r="M110" s="314"/>
    </row>
    <row r="111" spans="2:13" ht="12" hidden="1">
      <c r="B111" s="303">
        <f t="shared" si="14"/>
      </c>
      <c r="C111" s="293">
        <f t="shared" si="9"/>
      </c>
      <c r="D111" s="278">
        <f>IF(B111&lt;=$E$4*12,(IF(C111=C110,0,-Input!$G$21*Input!$G$22)),"")</f>
      </c>
      <c r="E111" s="278">
        <f>IF(B111&lt;=12*'Cash Flow Data'!$E$4,-($E$9/12)*($E$7*0.001)*$E$6*Input!$G$24,"")</f>
      </c>
      <c r="F111" s="294">
        <f t="shared" si="10"/>
      </c>
      <c r="G111" s="289">
        <f t="shared" si="13"/>
      </c>
      <c r="H111" s="278">
        <f>IF($B111&lt;=$E$4*12,(IF(G111=G110,0,-Input!$G$13*Input!$G$14)),"")</f>
      </c>
      <c r="I111" s="278">
        <f>IF(B111&lt;=$E$4*12,(-($G$7*0.001)*($G$9/12)*Input!$G$24*$G$6),"")</f>
      </c>
      <c r="J111" s="286">
        <f t="shared" si="11"/>
      </c>
      <c r="K111" s="299">
        <f t="shared" si="15"/>
      </c>
      <c r="L111" s="304">
        <f t="shared" si="12"/>
      </c>
      <c r="M111" s="314"/>
    </row>
    <row r="112" spans="2:13" ht="12" hidden="1">
      <c r="B112" s="303">
        <f t="shared" si="14"/>
      </c>
      <c r="C112" s="293">
        <f t="shared" si="9"/>
      </c>
      <c r="D112" s="278">
        <f>IF(B112&lt;=$E$4*12,(IF(C112=C111,0,-Input!$G$21*Input!$G$22)),"")</f>
      </c>
      <c r="E112" s="278">
        <f>IF(B112&lt;=12*'Cash Flow Data'!$E$4,-($E$9/12)*($E$7*0.001)*$E$6*Input!$G$24,"")</f>
      </c>
      <c r="F112" s="294">
        <f t="shared" si="10"/>
      </c>
      <c r="G112" s="289">
        <f t="shared" si="13"/>
      </c>
      <c r="H112" s="278">
        <f>IF($B112&lt;=$E$4*12,(IF(G112=G111,0,-Input!$G$13*Input!$G$14)),"")</f>
      </c>
      <c r="I112" s="278">
        <f>IF(B112&lt;=$E$4*12,(-($G$7*0.001)*($G$9/12)*Input!$G$24*$G$6),"")</f>
      </c>
      <c r="J112" s="286">
        <f t="shared" si="11"/>
      </c>
      <c r="K112" s="299">
        <f t="shared" si="15"/>
      </c>
      <c r="L112" s="304">
        <f t="shared" si="12"/>
      </c>
      <c r="M112" s="314"/>
    </row>
    <row r="113" spans="2:13" ht="12" hidden="1">
      <c r="B113" s="303">
        <f t="shared" si="14"/>
      </c>
      <c r="C113" s="293">
        <f t="shared" si="9"/>
      </c>
      <c r="D113" s="278">
        <f>IF(B113&lt;=$E$4*12,(IF(C113=C112,0,-Input!$G$21*Input!$G$22)),"")</f>
      </c>
      <c r="E113" s="278">
        <f>IF(B113&lt;=12*'Cash Flow Data'!$E$4,-($E$9/12)*($E$7*0.001)*$E$6*Input!$G$24,"")</f>
      </c>
      <c r="F113" s="294">
        <f t="shared" si="10"/>
      </c>
      <c r="G113" s="289">
        <f t="shared" si="13"/>
      </c>
      <c r="H113" s="278">
        <f>IF($B113&lt;=$E$4*12,(IF(G113=G112,0,-Input!$G$13*Input!$G$14)),"")</f>
      </c>
      <c r="I113" s="278">
        <f>IF(B113&lt;=$E$4*12,(-($G$7*0.001)*($G$9/12)*Input!$G$24*$G$6),"")</f>
      </c>
      <c r="J113" s="286">
        <f t="shared" si="11"/>
      </c>
      <c r="K113" s="299">
        <f t="shared" si="15"/>
      </c>
      <c r="L113" s="304">
        <f t="shared" si="12"/>
      </c>
      <c r="M113" s="314"/>
    </row>
    <row r="114" spans="2:13" ht="12" hidden="1">
      <c r="B114" s="303">
        <f t="shared" si="14"/>
      </c>
      <c r="C114" s="293">
        <f t="shared" si="9"/>
      </c>
      <c r="D114" s="278">
        <f>IF(B114&lt;=$E$4*12,(IF(C114=C113,0,-Input!$G$21*Input!$G$22)),"")</f>
      </c>
      <c r="E114" s="278">
        <f>IF(B114&lt;=12*'Cash Flow Data'!$E$4,-($E$9/12)*($E$7*0.001)*$E$6*Input!$G$24,"")</f>
      </c>
      <c r="F114" s="294">
        <f t="shared" si="10"/>
      </c>
      <c r="G114" s="289">
        <f t="shared" si="13"/>
      </c>
      <c r="H114" s="278">
        <f>IF($B114&lt;=$E$4*12,(IF(G114=G113,0,-Input!$G$13*Input!$G$14)),"")</f>
      </c>
      <c r="I114" s="278">
        <f>IF(B114&lt;=$E$4*12,(-($G$7*0.001)*($G$9/12)*Input!$G$24*$G$6),"")</f>
      </c>
      <c r="J114" s="286">
        <f t="shared" si="11"/>
      </c>
      <c r="K114" s="299">
        <f t="shared" si="15"/>
      </c>
      <c r="L114" s="304">
        <f t="shared" si="12"/>
      </c>
      <c r="M114" s="314"/>
    </row>
    <row r="115" spans="2:13" ht="12" hidden="1">
      <c r="B115" s="303">
        <f t="shared" si="14"/>
      </c>
      <c r="C115" s="293">
        <f t="shared" si="9"/>
      </c>
      <c r="D115" s="278">
        <f>IF(B115&lt;=$E$4*12,(IF(C115=C114,0,-Input!$G$21*Input!$G$22)),"")</f>
      </c>
      <c r="E115" s="278">
        <f>IF(B115&lt;=12*'Cash Flow Data'!$E$4,-($E$9/12)*($E$7*0.001)*$E$6*Input!$G$24,"")</f>
      </c>
      <c r="F115" s="294">
        <f t="shared" si="10"/>
      </c>
      <c r="G115" s="289">
        <f t="shared" si="13"/>
      </c>
      <c r="H115" s="278">
        <f>IF($B115&lt;=$E$4*12,(IF(G115=G114,0,-Input!$G$13*Input!$G$14)),"")</f>
      </c>
      <c r="I115" s="278">
        <f>IF(B115&lt;=$E$4*12,(-($G$7*0.001)*($G$9/12)*Input!$G$24*$G$6),"")</f>
      </c>
      <c r="J115" s="286">
        <f t="shared" si="11"/>
      </c>
      <c r="K115" s="299">
        <f t="shared" si="15"/>
      </c>
      <c r="L115" s="304">
        <f t="shared" si="12"/>
      </c>
      <c r="M115" s="314"/>
    </row>
    <row r="116" spans="2:13" ht="12" hidden="1">
      <c r="B116" s="303">
        <f t="shared" si="14"/>
      </c>
      <c r="C116" s="293">
        <f t="shared" si="9"/>
      </c>
      <c r="D116" s="278">
        <f>IF(B116&lt;=$E$4*12,(IF(C116=C115,0,-Input!$G$21*Input!$G$22)),"")</f>
      </c>
      <c r="E116" s="278">
        <f>IF(B116&lt;=12*'Cash Flow Data'!$E$4,-($E$9/12)*($E$7*0.001)*$E$6*Input!$G$24,"")</f>
      </c>
      <c r="F116" s="294">
        <f t="shared" si="10"/>
      </c>
      <c r="G116" s="289">
        <f t="shared" si="13"/>
      </c>
      <c r="H116" s="278">
        <f>IF($B116&lt;=$E$4*12,(IF(G116=G115,0,-Input!$G$13*Input!$G$14)),"")</f>
      </c>
      <c r="I116" s="278">
        <f>IF(B116&lt;=$E$4*12,(-($G$7*0.001)*($G$9/12)*Input!$G$24*$G$6),"")</f>
      </c>
      <c r="J116" s="286">
        <f t="shared" si="11"/>
      </c>
      <c r="K116" s="299">
        <f t="shared" si="15"/>
      </c>
      <c r="L116" s="304">
        <f t="shared" si="12"/>
      </c>
      <c r="M116" s="314"/>
    </row>
    <row r="117" spans="2:13" ht="12" hidden="1">
      <c r="B117" s="303">
        <f t="shared" si="14"/>
      </c>
      <c r="C117" s="293">
        <f t="shared" si="9"/>
      </c>
      <c r="D117" s="278">
        <f>IF(B117&lt;=$E$4*12,(IF(C117=C116,0,-Input!$G$21*Input!$G$22)),"")</f>
      </c>
      <c r="E117" s="278">
        <f>IF(B117&lt;=12*'Cash Flow Data'!$E$4,-($E$9/12)*($E$7*0.001)*$E$6*Input!$G$24,"")</f>
      </c>
      <c r="F117" s="294">
        <f t="shared" si="10"/>
      </c>
      <c r="G117" s="289">
        <f t="shared" si="13"/>
      </c>
      <c r="H117" s="278">
        <f>IF($B117&lt;=$E$4*12,(IF(G117=G116,0,-Input!$G$13*Input!$G$14)),"")</f>
      </c>
      <c r="I117" s="278">
        <f>IF(B117&lt;=$E$4*12,(-($G$7*0.001)*($G$9/12)*Input!$G$24*$G$6),"")</f>
      </c>
      <c r="J117" s="286">
        <f t="shared" si="11"/>
      </c>
      <c r="K117" s="299">
        <f t="shared" si="15"/>
      </c>
      <c r="L117" s="304">
        <f t="shared" si="12"/>
      </c>
      <c r="M117" s="314"/>
    </row>
    <row r="118" spans="2:13" ht="12" hidden="1">
      <c r="B118" s="303">
        <f t="shared" si="14"/>
      </c>
      <c r="C118" s="293">
        <f t="shared" si="9"/>
      </c>
      <c r="D118" s="278">
        <f>IF(B118&lt;=$E$4*12,(IF(C118=C117,0,-Input!$G$21*Input!$G$22)),"")</f>
      </c>
      <c r="E118" s="278">
        <f>IF(B118&lt;=12*'Cash Flow Data'!$E$4,-($E$9/12)*($E$7*0.001)*$E$6*Input!$G$24,"")</f>
      </c>
      <c r="F118" s="294">
        <f t="shared" si="10"/>
      </c>
      <c r="G118" s="289">
        <f t="shared" si="13"/>
      </c>
      <c r="H118" s="278">
        <f>IF($B118&lt;=$E$4*12,(IF(G118=G117,0,-Input!$G$13*Input!$G$14)),"")</f>
      </c>
      <c r="I118" s="278">
        <f>IF(B118&lt;=$E$4*12,(-($G$7*0.001)*($G$9/12)*Input!$G$24*$G$6),"")</f>
      </c>
      <c r="J118" s="286">
        <f t="shared" si="11"/>
      </c>
      <c r="K118" s="299">
        <f t="shared" si="15"/>
      </c>
      <c r="L118" s="304">
        <f t="shared" si="12"/>
      </c>
      <c r="M118" s="314"/>
    </row>
    <row r="119" spans="2:13" ht="12" hidden="1">
      <c r="B119" s="303">
        <f t="shared" si="14"/>
      </c>
      <c r="C119" s="293">
        <f t="shared" si="9"/>
      </c>
      <c r="D119" s="278">
        <f>IF(B119&lt;=$E$4*12,(IF(C119=C118,0,-Input!$G$21*Input!$G$22)),"")</f>
      </c>
      <c r="E119" s="278">
        <f>IF(B119&lt;=12*'Cash Flow Data'!$E$4,-($E$9/12)*($E$7*0.001)*$E$6*Input!$G$24,"")</f>
      </c>
      <c r="F119" s="294">
        <f t="shared" si="10"/>
      </c>
      <c r="G119" s="289">
        <f t="shared" si="13"/>
      </c>
      <c r="H119" s="278">
        <f>IF($B119&lt;=$E$4*12,(IF(G119=G118,0,-Input!$G$13*Input!$G$14)),"")</f>
      </c>
      <c r="I119" s="278">
        <f>IF(B119&lt;=$E$4*12,(-($G$7*0.001)*($G$9/12)*Input!$G$24*$G$6),"")</f>
      </c>
      <c r="J119" s="286">
        <f t="shared" si="11"/>
      </c>
      <c r="K119" s="299">
        <f t="shared" si="15"/>
      </c>
      <c r="L119" s="304">
        <f t="shared" si="12"/>
      </c>
      <c r="M119" s="314"/>
    </row>
    <row r="120" spans="2:13" ht="12" hidden="1">
      <c r="B120" s="303">
        <f t="shared" si="14"/>
      </c>
      <c r="C120" s="293">
        <f t="shared" si="9"/>
      </c>
      <c r="D120" s="278">
        <f>IF(B120&lt;=$E$4*12,(IF(C120=C119,0,-Input!$G$21*Input!$G$22)),"")</f>
      </c>
      <c r="E120" s="278">
        <f>IF(B120&lt;=12*'Cash Flow Data'!$E$4,-($E$9/12)*($E$7*0.001)*$E$6*Input!$G$24,"")</f>
      </c>
      <c r="F120" s="294">
        <f t="shared" si="10"/>
      </c>
      <c r="G120" s="289">
        <f t="shared" si="13"/>
      </c>
      <c r="H120" s="278">
        <f>IF($B120&lt;=$E$4*12,(IF(G120=G119,0,-Input!$G$13*Input!$G$14)),"")</f>
      </c>
      <c r="I120" s="278">
        <f>IF(B120&lt;=$E$4*12,(-($G$7*0.001)*($G$9/12)*Input!$G$24*$G$6),"")</f>
      </c>
      <c r="J120" s="286">
        <f t="shared" si="11"/>
      </c>
      <c r="K120" s="299">
        <f t="shared" si="15"/>
      </c>
      <c r="L120" s="304">
        <f t="shared" si="12"/>
      </c>
      <c r="M120" s="314"/>
    </row>
    <row r="121" spans="2:13" ht="12" hidden="1">
      <c r="B121" s="303">
        <f t="shared" si="14"/>
      </c>
      <c r="C121" s="293">
        <f t="shared" si="9"/>
      </c>
      <c r="D121" s="278">
        <f>IF(B121&lt;=$E$4*12,(IF(C121=C120,0,-Input!$G$21*Input!$G$22)),"")</f>
      </c>
      <c r="E121" s="278">
        <f>IF(B121&lt;=12*'Cash Flow Data'!$E$4,-($E$9/12)*($E$7*0.001)*$E$6*Input!$G$24,"")</f>
      </c>
      <c r="F121" s="294">
        <f t="shared" si="10"/>
      </c>
      <c r="G121" s="289">
        <f t="shared" si="13"/>
      </c>
      <c r="H121" s="278">
        <f>IF($B121&lt;=$E$4*12,(IF(G121=G120,0,-Input!$G$13*Input!$G$14)),"")</f>
      </c>
      <c r="I121" s="278">
        <f>IF(B121&lt;=$E$4*12,(-($G$7*0.001)*($G$9/12)*Input!$G$24*$G$6),"")</f>
      </c>
      <c r="J121" s="286">
        <f t="shared" si="11"/>
      </c>
      <c r="K121" s="299">
        <f t="shared" si="15"/>
      </c>
      <c r="L121" s="304">
        <f t="shared" si="12"/>
      </c>
      <c r="M121" s="314"/>
    </row>
    <row r="122" spans="2:13" ht="12" hidden="1">
      <c r="B122" s="303">
        <f t="shared" si="14"/>
      </c>
      <c r="C122" s="293">
        <f t="shared" si="9"/>
      </c>
      <c r="D122" s="278">
        <f>IF(B122&lt;=$E$4*12,(IF(C122=C121,0,-Input!$G$21*Input!$G$22)),"")</f>
      </c>
      <c r="E122" s="278">
        <f>IF(B122&lt;=12*'Cash Flow Data'!$E$4,-($E$9/12)*($E$7*0.001)*$E$6*Input!$G$24,"")</f>
      </c>
      <c r="F122" s="294">
        <f t="shared" si="10"/>
      </c>
      <c r="G122" s="289">
        <f t="shared" si="13"/>
      </c>
      <c r="H122" s="278">
        <f>IF($B122&lt;=$E$4*12,(IF(G122=G121,0,-Input!$G$13*Input!$G$14)),"")</f>
      </c>
      <c r="I122" s="278">
        <f>IF(B122&lt;=$E$4*12,(-($G$7*0.001)*($G$9/12)*Input!$G$24*$G$6),"")</f>
      </c>
      <c r="J122" s="286">
        <f t="shared" si="11"/>
      </c>
      <c r="K122" s="299">
        <f t="shared" si="15"/>
      </c>
      <c r="L122" s="304">
        <f t="shared" si="12"/>
      </c>
      <c r="M122" s="314"/>
    </row>
    <row r="123" spans="2:13" ht="12" hidden="1">
      <c r="B123" s="303">
        <f t="shared" si="14"/>
      </c>
      <c r="C123" s="293">
        <f t="shared" si="9"/>
      </c>
      <c r="D123" s="278">
        <f>IF(B123&lt;=$E$4*12,(IF(C123=C122,0,-Input!$G$21*Input!$G$22)),"")</f>
      </c>
      <c r="E123" s="278">
        <f>IF(B123&lt;=12*'Cash Flow Data'!$E$4,-($E$9/12)*($E$7*0.001)*$E$6*Input!$G$24,"")</f>
      </c>
      <c r="F123" s="294">
        <f t="shared" si="10"/>
      </c>
      <c r="G123" s="289">
        <f t="shared" si="13"/>
      </c>
      <c r="H123" s="278">
        <f>IF($B123&lt;=$E$4*12,(IF(G123=G122,0,-Input!$G$13*Input!$G$14)),"")</f>
      </c>
      <c r="I123" s="278">
        <f>IF(B123&lt;=$E$4*12,(-($G$7*0.001)*($G$9/12)*Input!$G$24*$G$6),"")</f>
      </c>
      <c r="J123" s="286">
        <f t="shared" si="11"/>
      </c>
      <c r="K123" s="299">
        <f t="shared" si="15"/>
      </c>
      <c r="L123" s="304">
        <f t="shared" si="12"/>
      </c>
      <c r="M123" s="314"/>
    </row>
    <row r="124" spans="2:13" ht="12" hidden="1">
      <c r="B124" s="303">
        <f t="shared" si="14"/>
      </c>
      <c r="C124" s="293">
        <f t="shared" si="9"/>
      </c>
      <c r="D124" s="278">
        <f>IF(B124&lt;=$E$4*12,(IF(C124=C123,0,-Input!$G$21*Input!$G$22)),"")</f>
      </c>
      <c r="E124" s="278">
        <f>IF(B124&lt;=12*'Cash Flow Data'!$E$4,-($E$9/12)*($E$7*0.001)*$E$6*Input!$G$24,"")</f>
      </c>
      <c r="F124" s="294">
        <f t="shared" si="10"/>
      </c>
      <c r="G124" s="289">
        <f t="shared" si="13"/>
      </c>
      <c r="H124" s="278">
        <f>IF($B124&lt;=$E$4*12,(IF(G124=G123,0,-Input!$G$13*Input!$G$14)),"")</f>
      </c>
      <c r="I124" s="278">
        <f>IF(B124&lt;=$E$4*12,(-($G$7*0.001)*($G$9/12)*Input!$G$24*$G$6),"")</f>
      </c>
      <c r="J124" s="286">
        <f t="shared" si="11"/>
      </c>
      <c r="K124" s="299">
        <f t="shared" si="15"/>
      </c>
      <c r="L124" s="304">
        <f t="shared" si="12"/>
      </c>
      <c r="M124" s="314"/>
    </row>
    <row r="125" spans="2:13" ht="12" hidden="1">
      <c r="B125" s="303">
        <f t="shared" si="14"/>
      </c>
      <c r="C125" s="293">
        <f t="shared" si="9"/>
      </c>
      <c r="D125" s="278">
        <f>IF(B125&lt;=$E$4*12,(IF(C125=C124,0,-Input!$G$21*Input!$G$22)),"")</f>
      </c>
      <c r="E125" s="278">
        <f>IF(B125&lt;=12*'Cash Flow Data'!$E$4,-($E$9/12)*($E$7*0.001)*$E$6*Input!$G$24,"")</f>
      </c>
      <c r="F125" s="294">
        <f t="shared" si="10"/>
      </c>
      <c r="G125" s="289">
        <f t="shared" si="13"/>
      </c>
      <c r="H125" s="278">
        <f>IF($B125&lt;=$E$4*12,(IF(G125=G124,0,-Input!$G$13*Input!$G$14)),"")</f>
      </c>
      <c r="I125" s="278">
        <f>IF(B125&lt;=$E$4*12,(-($G$7*0.001)*($G$9/12)*Input!$G$24*$G$6),"")</f>
      </c>
      <c r="J125" s="286">
        <f t="shared" si="11"/>
      </c>
      <c r="K125" s="299">
        <f t="shared" si="15"/>
      </c>
      <c r="L125" s="304">
        <f t="shared" si="12"/>
      </c>
      <c r="M125" s="314"/>
    </row>
    <row r="126" spans="2:13" ht="12" hidden="1">
      <c r="B126" s="303">
        <f t="shared" si="14"/>
      </c>
      <c r="C126" s="293">
        <f t="shared" si="9"/>
      </c>
      <c r="D126" s="278">
        <f>IF(B126&lt;=$E$4*12,(IF(C126=C125,0,-Input!$G$21*Input!$G$22)),"")</f>
      </c>
      <c r="E126" s="278">
        <f>IF(B126&lt;=12*'Cash Flow Data'!$E$4,-($E$9/12)*($E$7*0.001)*$E$6*Input!$G$24,"")</f>
      </c>
      <c r="F126" s="294">
        <f t="shared" si="10"/>
      </c>
      <c r="G126" s="289">
        <f t="shared" si="13"/>
      </c>
      <c r="H126" s="278">
        <f>IF($B126&lt;=$E$4*12,(IF(G126=G125,0,-Input!$G$13*Input!$G$14)),"")</f>
      </c>
      <c r="I126" s="278">
        <f>IF(B126&lt;=$E$4*12,(-($G$7*0.001)*($G$9/12)*Input!$G$24*$G$6),"")</f>
      </c>
      <c r="J126" s="286">
        <f t="shared" si="11"/>
      </c>
      <c r="K126" s="299">
        <f t="shared" si="15"/>
      </c>
      <c r="L126" s="304">
        <f t="shared" si="12"/>
      </c>
      <c r="M126" s="314"/>
    </row>
    <row r="127" spans="2:13" ht="12" hidden="1">
      <c r="B127" s="303">
        <f t="shared" si="14"/>
      </c>
      <c r="C127" s="293">
        <f t="shared" si="9"/>
      </c>
      <c r="D127" s="278">
        <f>IF(B127&lt;=$E$4*12,(IF(C127=C126,0,-Input!$G$21*Input!$G$22)),"")</f>
      </c>
      <c r="E127" s="278">
        <f>IF(B127&lt;=12*'Cash Flow Data'!$E$4,-($E$9/12)*($E$7*0.001)*$E$6*Input!$G$24,"")</f>
      </c>
      <c r="F127" s="294">
        <f t="shared" si="10"/>
      </c>
      <c r="G127" s="289">
        <f t="shared" si="13"/>
      </c>
      <c r="H127" s="278">
        <f>IF($B127&lt;=$E$4*12,(IF(G127=G126,0,-Input!$G$13*Input!$G$14)),"")</f>
      </c>
      <c r="I127" s="278">
        <f>IF(B127&lt;=$E$4*12,(-($G$7*0.001)*($G$9/12)*Input!$G$24*$G$6),"")</f>
      </c>
      <c r="J127" s="286">
        <f t="shared" si="11"/>
      </c>
      <c r="K127" s="299">
        <f t="shared" si="15"/>
      </c>
      <c r="L127" s="304">
        <f t="shared" si="12"/>
      </c>
      <c r="M127" s="314"/>
    </row>
    <row r="128" spans="2:13" ht="12" hidden="1">
      <c r="B128" s="303">
        <f t="shared" si="14"/>
      </c>
      <c r="C128" s="293">
        <f t="shared" si="9"/>
      </c>
      <c r="D128" s="278">
        <f>IF(B128&lt;=$E$4*12,(IF(C128=C127,0,-Input!$G$21*Input!$G$22)),"")</f>
      </c>
      <c r="E128" s="278">
        <f>IF(B128&lt;=12*'Cash Flow Data'!$E$4,-($E$9/12)*($E$7*0.001)*$E$6*Input!$G$24,"")</f>
      </c>
      <c r="F128" s="294">
        <f t="shared" si="10"/>
      </c>
      <c r="G128" s="289">
        <f t="shared" si="13"/>
      </c>
      <c r="H128" s="278">
        <f>IF($B128&lt;=$E$4*12,(IF(G128=G127,0,-Input!$G$13*Input!$G$14)),"")</f>
      </c>
      <c r="I128" s="278">
        <f>IF(B128&lt;=$E$4*12,(-($G$7*0.001)*($G$9/12)*Input!$G$24*$G$6),"")</f>
      </c>
      <c r="J128" s="286">
        <f t="shared" si="11"/>
      </c>
      <c r="K128" s="299">
        <f t="shared" si="15"/>
      </c>
      <c r="L128" s="304">
        <f t="shared" si="12"/>
      </c>
      <c r="M128" s="314"/>
    </row>
    <row r="129" spans="2:13" ht="12" hidden="1">
      <c r="B129" s="303">
        <f t="shared" si="14"/>
      </c>
      <c r="C129" s="293">
        <f t="shared" si="9"/>
      </c>
      <c r="D129" s="278">
        <f>IF(B129&lt;=$E$4*12,(IF(C129=C128,0,-Input!$G$21*Input!$G$22)),"")</f>
      </c>
      <c r="E129" s="278">
        <f>IF(B129&lt;=12*'Cash Flow Data'!$E$4,-($E$9/12)*($E$7*0.001)*$E$6*Input!$G$24,"")</f>
      </c>
      <c r="F129" s="294">
        <f t="shared" si="10"/>
      </c>
      <c r="G129" s="289">
        <f t="shared" si="13"/>
      </c>
      <c r="H129" s="278">
        <f>IF($B129&lt;=$E$4*12,(IF(G129=G128,0,-Input!$G$13*Input!$G$14)),"")</f>
      </c>
      <c r="I129" s="278">
        <f>IF(B129&lt;=$E$4*12,(-($G$7*0.001)*($G$9/12)*Input!$G$24*$G$6),"")</f>
      </c>
      <c r="J129" s="286">
        <f t="shared" si="11"/>
      </c>
      <c r="K129" s="299">
        <f t="shared" si="15"/>
      </c>
      <c r="L129" s="304">
        <f t="shared" si="12"/>
      </c>
      <c r="M129" s="314"/>
    </row>
    <row r="130" spans="2:13" ht="12" hidden="1">
      <c r="B130" s="303">
        <f t="shared" si="14"/>
      </c>
      <c r="C130" s="293">
        <f t="shared" si="9"/>
      </c>
      <c r="D130" s="278">
        <f>IF(B130&lt;=$E$4*12,(IF(C130=C129,0,-Input!$G$21*Input!$G$22)),"")</f>
      </c>
      <c r="E130" s="278">
        <f>IF(B130&lt;=12*'Cash Flow Data'!$E$4,-($E$9/12)*($E$7*0.001)*$E$6*Input!$G$24,"")</f>
      </c>
      <c r="F130" s="294">
        <f t="shared" si="10"/>
      </c>
      <c r="G130" s="289">
        <f t="shared" si="13"/>
      </c>
      <c r="H130" s="278">
        <f>IF($B130&lt;=$E$4*12,(IF(G130=G129,0,-Input!$G$13*Input!$G$14)),"")</f>
      </c>
      <c r="I130" s="278">
        <f>IF(B130&lt;=$E$4*12,(-($G$7*0.001)*($G$9/12)*Input!$G$24*$G$6),"")</f>
      </c>
      <c r="J130" s="286">
        <f t="shared" si="11"/>
      </c>
      <c r="K130" s="299">
        <f t="shared" si="15"/>
      </c>
      <c r="L130" s="304">
        <f t="shared" si="12"/>
      </c>
      <c r="M130" s="314"/>
    </row>
    <row r="131" spans="2:13" ht="12" hidden="1">
      <c r="B131" s="303">
        <f t="shared" si="14"/>
      </c>
      <c r="C131" s="293">
        <f t="shared" si="9"/>
      </c>
      <c r="D131" s="278">
        <f>IF(B131&lt;=$E$4*12,(IF(C131=C130,0,-Input!$G$21*Input!$G$22)),"")</f>
      </c>
      <c r="E131" s="278">
        <f>IF(B131&lt;=12*'Cash Flow Data'!$E$4,-($E$9/12)*($E$7*0.001)*$E$6*Input!$G$24,"")</f>
      </c>
      <c r="F131" s="294">
        <f t="shared" si="10"/>
      </c>
      <c r="G131" s="289">
        <f t="shared" si="13"/>
      </c>
      <c r="H131" s="278">
        <f>IF($B131&lt;=$E$4*12,(IF(G131=G130,0,-Input!$G$13*Input!$G$14)),"")</f>
      </c>
      <c r="I131" s="278">
        <f>IF(B131&lt;=$E$4*12,(-($G$7*0.001)*($G$9/12)*Input!$G$24*$G$6),"")</f>
      </c>
      <c r="J131" s="286">
        <f t="shared" si="11"/>
      </c>
      <c r="K131" s="299">
        <f t="shared" si="15"/>
      </c>
      <c r="L131" s="304">
        <f t="shared" si="12"/>
      </c>
      <c r="M131" s="314"/>
    </row>
    <row r="132" spans="2:13" ht="12" hidden="1">
      <c r="B132" s="303">
        <f t="shared" si="14"/>
      </c>
      <c r="C132" s="293">
        <f t="shared" si="9"/>
      </c>
      <c r="D132" s="278">
        <f>IF(B132&lt;=$E$4*12,(IF(C132=C131,0,-Input!$G$21*Input!$G$22)),"")</f>
      </c>
      <c r="E132" s="278">
        <f>IF(B132&lt;=12*'Cash Flow Data'!$E$4,-($E$9/12)*($E$7*0.001)*$E$6*Input!$G$24,"")</f>
      </c>
      <c r="F132" s="294">
        <f t="shared" si="10"/>
      </c>
      <c r="G132" s="289">
        <f t="shared" si="13"/>
      </c>
      <c r="H132" s="278">
        <f>IF($B132&lt;=$E$4*12,(IF(G132=G131,0,-Input!$G$13*Input!$G$14)),"")</f>
      </c>
      <c r="I132" s="278">
        <f>IF(B132&lt;=$E$4*12,(-($G$7*0.001)*($G$9/12)*Input!$G$24*$G$6),"")</f>
      </c>
      <c r="J132" s="286">
        <f t="shared" si="11"/>
      </c>
      <c r="K132" s="299">
        <f t="shared" si="15"/>
      </c>
      <c r="L132" s="304">
        <f t="shared" si="12"/>
      </c>
      <c r="M132" s="314"/>
    </row>
    <row r="133" spans="2:13" ht="12" hidden="1">
      <c r="B133" s="303">
        <f t="shared" si="14"/>
      </c>
      <c r="C133" s="293">
        <f t="shared" si="9"/>
      </c>
      <c r="D133" s="278">
        <f>IF(B133&lt;=$E$4*12,(IF(C133=C132,0,-Input!$G$21*Input!$G$22)),"")</f>
      </c>
      <c r="E133" s="278">
        <f>IF(B133&lt;=12*'Cash Flow Data'!$E$4,-($E$9/12)*($E$7*0.001)*$E$6*Input!$G$24,"")</f>
      </c>
      <c r="F133" s="294">
        <f t="shared" si="10"/>
      </c>
      <c r="G133" s="289">
        <f t="shared" si="13"/>
      </c>
      <c r="H133" s="278">
        <f>IF($B133&lt;=$E$4*12,(IF(G133=G132,0,-Input!$G$13*Input!$G$14)),"")</f>
      </c>
      <c r="I133" s="278">
        <f>IF(B133&lt;=$E$4*12,(-($G$7*0.001)*($G$9/12)*Input!$G$24*$G$6),"")</f>
      </c>
      <c r="J133" s="286">
        <f t="shared" si="11"/>
      </c>
      <c r="K133" s="299">
        <f t="shared" si="15"/>
      </c>
      <c r="L133" s="304">
        <f t="shared" si="12"/>
      </c>
      <c r="M133" s="314"/>
    </row>
    <row r="134" spans="2:13" ht="12" hidden="1">
      <c r="B134" s="303">
        <f t="shared" si="14"/>
      </c>
      <c r="C134" s="293">
        <f t="shared" si="9"/>
      </c>
      <c r="D134" s="278">
        <f>IF(B134&lt;=$E$4*12,(IF(C134=C133,0,-Input!$G$21*Input!$G$22)),"")</f>
      </c>
      <c r="E134" s="278">
        <f>IF(B134&lt;=12*'Cash Flow Data'!$E$4,-($E$9/12)*($E$7*0.001)*$E$6*Input!$G$24,"")</f>
      </c>
      <c r="F134" s="294">
        <f t="shared" si="10"/>
      </c>
      <c r="G134" s="289">
        <f t="shared" si="13"/>
      </c>
      <c r="H134" s="278">
        <f>IF($B134&lt;=$E$4*12,(IF(G134=G133,0,-Input!$G$13*Input!$G$14)),"")</f>
      </c>
      <c r="I134" s="278">
        <f>IF(B134&lt;=$E$4*12,(-($G$7*0.001)*($G$9/12)*Input!$G$24*$G$6),"")</f>
      </c>
      <c r="J134" s="286">
        <f t="shared" si="11"/>
      </c>
      <c r="K134" s="299">
        <f t="shared" si="15"/>
      </c>
      <c r="L134" s="304">
        <f t="shared" si="12"/>
      </c>
      <c r="M134" s="314"/>
    </row>
    <row r="135" spans="2:13" ht="12" hidden="1">
      <c r="B135" s="303">
        <f t="shared" si="14"/>
      </c>
      <c r="C135" s="293">
        <f t="shared" si="9"/>
      </c>
      <c r="D135" s="278">
        <f>IF(B135&lt;=$E$4*12,(IF(C135=C134,0,-Input!$G$21*Input!$G$22)),"")</f>
      </c>
      <c r="E135" s="278">
        <f>IF(B135&lt;=12*'Cash Flow Data'!$E$4,-($E$9/12)*($E$7*0.001)*$E$6*Input!$G$24,"")</f>
      </c>
      <c r="F135" s="294">
        <f t="shared" si="10"/>
      </c>
      <c r="G135" s="289">
        <f t="shared" si="13"/>
      </c>
      <c r="H135" s="278">
        <f>IF($B135&lt;=$E$4*12,(IF(G135=G134,0,-Input!$G$13*Input!$G$14)),"")</f>
      </c>
      <c r="I135" s="278">
        <f>IF(B135&lt;=$E$4*12,(-($G$7*0.001)*($G$9/12)*Input!$G$24*$G$6),"")</f>
      </c>
      <c r="J135" s="286">
        <f t="shared" si="11"/>
      </c>
      <c r="K135" s="299">
        <f t="shared" si="15"/>
      </c>
      <c r="L135" s="304">
        <f t="shared" si="12"/>
      </c>
      <c r="M135" s="314"/>
    </row>
    <row r="136" spans="2:13" ht="12" hidden="1">
      <c r="B136" s="303">
        <f t="shared" si="14"/>
      </c>
      <c r="C136" s="293">
        <f t="shared" si="9"/>
      </c>
      <c r="D136" s="278">
        <f>IF(B136&lt;=$E$4*12,(IF(C136=C135,0,-Input!$G$21*Input!$G$22)),"")</f>
      </c>
      <c r="E136" s="278">
        <f>IF(B136&lt;=12*'Cash Flow Data'!$E$4,-($E$9/12)*($E$7*0.001)*$E$6*Input!$G$24,"")</f>
      </c>
      <c r="F136" s="294">
        <f t="shared" si="10"/>
      </c>
      <c r="G136" s="289">
        <f t="shared" si="13"/>
      </c>
      <c r="H136" s="278">
        <f>IF($B136&lt;=$E$4*12,(IF(G136=G135,0,-Input!$G$13*Input!$G$14)),"")</f>
      </c>
      <c r="I136" s="278">
        <f>IF(B136&lt;=$E$4*12,(-($G$7*0.001)*($G$9/12)*Input!$G$24*$G$6),"")</f>
      </c>
      <c r="J136" s="286">
        <f t="shared" si="11"/>
      </c>
      <c r="K136" s="299">
        <f t="shared" si="15"/>
      </c>
      <c r="L136" s="304">
        <f t="shared" si="12"/>
      </c>
      <c r="M136" s="314"/>
    </row>
    <row r="137" spans="2:13" ht="12" hidden="1">
      <c r="B137" s="303">
        <f t="shared" si="14"/>
      </c>
      <c r="C137" s="293">
        <f t="shared" si="9"/>
      </c>
      <c r="D137" s="278">
        <f>IF(B137&lt;=$E$4*12,(IF(C137=C136,0,-Input!$G$21*Input!$G$22)),"")</f>
      </c>
      <c r="E137" s="278">
        <f>IF(B137&lt;=12*'Cash Flow Data'!$E$4,-($E$9/12)*($E$7*0.001)*$E$6*Input!$G$24,"")</f>
      </c>
      <c r="F137" s="294">
        <f t="shared" si="10"/>
      </c>
      <c r="G137" s="289">
        <f t="shared" si="13"/>
      </c>
      <c r="H137" s="278">
        <f>IF($B137&lt;=$E$4*12,(IF(G137=G136,0,-Input!$G$13*Input!$G$14)),"")</f>
      </c>
      <c r="I137" s="278">
        <f>IF(B137&lt;=$E$4*12,(-($G$7*0.001)*($G$9/12)*Input!$G$24*$G$6),"")</f>
      </c>
      <c r="J137" s="286">
        <f t="shared" si="11"/>
      </c>
      <c r="K137" s="299">
        <f t="shared" si="15"/>
      </c>
      <c r="L137" s="304">
        <f t="shared" si="12"/>
      </c>
      <c r="M137" s="314"/>
    </row>
    <row r="138" spans="2:13" ht="12" hidden="1">
      <c r="B138" s="303">
        <f t="shared" si="14"/>
      </c>
      <c r="C138" s="293">
        <f t="shared" si="9"/>
      </c>
      <c r="D138" s="278">
        <f>IF(B138&lt;=$E$4*12,(IF(C138=C137,0,-Input!$G$21*Input!$G$22)),"")</f>
      </c>
      <c r="E138" s="278">
        <f>IF(B138&lt;=12*'Cash Flow Data'!$E$4,-($E$9/12)*($E$7*0.001)*$E$6*Input!$G$24,"")</f>
      </c>
      <c r="F138" s="294">
        <f t="shared" si="10"/>
      </c>
      <c r="G138" s="289">
        <f t="shared" si="13"/>
      </c>
      <c r="H138" s="278">
        <f>IF($B138&lt;=$E$4*12,(IF(G138=G137,0,-Input!$G$13*Input!$G$14)),"")</f>
      </c>
      <c r="I138" s="278">
        <f>IF(B138&lt;=$E$4*12,(-($G$7*0.001)*($G$9/12)*Input!$G$24*$G$6),"")</f>
      </c>
      <c r="J138" s="286">
        <f t="shared" si="11"/>
      </c>
      <c r="K138" s="299">
        <f t="shared" si="15"/>
      </c>
      <c r="L138" s="304">
        <f t="shared" si="12"/>
      </c>
      <c r="M138" s="314"/>
    </row>
    <row r="139" spans="2:13" ht="12" hidden="1">
      <c r="B139" s="303">
        <f t="shared" si="14"/>
      </c>
      <c r="C139" s="293">
        <f t="shared" si="9"/>
      </c>
      <c r="D139" s="278">
        <f>IF(B139&lt;=$E$4*12,(IF(C139=C138,0,-Input!$G$21*Input!$G$22)),"")</f>
      </c>
      <c r="E139" s="278">
        <f>IF(B139&lt;=12*'Cash Flow Data'!$E$4,-($E$9/12)*($E$7*0.001)*$E$6*Input!$G$24,"")</f>
      </c>
      <c r="F139" s="294">
        <f t="shared" si="10"/>
      </c>
      <c r="G139" s="289">
        <f t="shared" si="13"/>
      </c>
      <c r="H139" s="278">
        <f>IF($B139&lt;=$E$4*12,(IF(G139=G138,0,-Input!$G$13*Input!$G$14)),"")</f>
      </c>
      <c r="I139" s="278">
        <f>IF(B139&lt;=$E$4*12,(-($G$7*0.001)*($G$9/12)*Input!$G$24*$G$6),"")</f>
      </c>
      <c r="J139" s="286">
        <f t="shared" si="11"/>
      </c>
      <c r="K139" s="299">
        <f t="shared" si="15"/>
      </c>
      <c r="L139" s="304">
        <f t="shared" si="12"/>
      </c>
      <c r="M139" s="314"/>
    </row>
    <row r="140" spans="2:13" ht="12" hidden="1">
      <c r="B140" s="303">
        <f t="shared" si="14"/>
      </c>
      <c r="C140" s="293">
        <f t="shared" si="9"/>
      </c>
      <c r="D140" s="278">
        <f>IF(B140&lt;=$E$4*12,(IF(C140=C139,0,-Input!$G$21*Input!$G$22)),"")</f>
      </c>
      <c r="E140" s="278">
        <f>IF(B140&lt;=12*'Cash Flow Data'!$E$4,-($E$9/12)*($E$7*0.001)*$E$6*Input!$G$24,"")</f>
      </c>
      <c r="F140" s="294">
        <f t="shared" si="10"/>
      </c>
      <c r="G140" s="289">
        <f t="shared" si="13"/>
      </c>
      <c r="H140" s="278">
        <f>IF($B140&lt;=$E$4*12,(IF(G140=G139,0,-Input!$G$13*Input!$G$14)),"")</f>
      </c>
      <c r="I140" s="278">
        <f>IF(B140&lt;=$E$4*12,(-($G$7*0.001)*($G$9/12)*Input!$G$24*$G$6),"")</f>
      </c>
      <c r="J140" s="286">
        <f t="shared" si="11"/>
      </c>
      <c r="K140" s="299">
        <f t="shared" si="15"/>
      </c>
      <c r="L140" s="304">
        <f t="shared" si="12"/>
      </c>
      <c r="M140" s="314"/>
    </row>
    <row r="141" spans="2:13" ht="12" hidden="1">
      <c r="B141" s="303">
        <f t="shared" si="14"/>
      </c>
      <c r="C141" s="293">
        <f t="shared" si="9"/>
      </c>
      <c r="D141" s="278">
        <f>IF(B141&lt;=$E$4*12,(IF(C141=C140,0,-Input!$G$21*Input!$G$22)),"")</f>
      </c>
      <c r="E141" s="278">
        <f>IF(B141&lt;=12*'Cash Flow Data'!$E$4,-($E$9/12)*($E$7*0.001)*$E$6*Input!$G$24,"")</f>
      </c>
      <c r="F141" s="294">
        <f t="shared" si="10"/>
      </c>
      <c r="G141" s="289">
        <f t="shared" si="13"/>
      </c>
      <c r="H141" s="278">
        <f>IF($B141&lt;=$E$4*12,(IF(G141=G140,0,-Input!$G$13*Input!$G$14)),"")</f>
      </c>
      <c r="I141" s="278">
        <f>IF(B141&lt;=$E$4*12,(-($G$7*0.001)*($G$9/12)*Input!$G$24*$G$6),"")</f>
      </c>
      <c r="J141" s="286">
        <f t="shared" si="11"/>
      </c>
      <c r="K141" s="299">
        <f t="shared" si="15"/>
      </c>
      <c r="L141" s="304">
        <f t="shared" si="12"/>
      </c>
      <c r="M141" s="314"/>
    </row>
    <row r="142" spans="1:13" ht="12.75" hidden="1" thickBot="1">
      <c r="A142" s="270"/>
      <c r="B142" s="303">
        <f t="shared" si="14"/>
      </c>
      <c r="C142" s="293">
        <f t="shared" si="9"/>
      </c>
      <c r="D142" s="278">
        <f>IF(B142&lt;=$E$4*12,(IF(C142=C141,0,-Input!$G$21*Input!$G$22)),"")</f>
      </c>
      <c r="E142" s="278">
        <f>IF(B142&lt;=12*'Cash Flow Data'!$E$4,-($E$9/12)*($E$7*0.001)*$E$6*Input!$G$24,"")</f>
      </c>
      <c r="F142" s="294">
        <f t="shared" si="10"/>
      </c>
      <c r="G142" s="289">
        <f t="shared" si="13"/>
      </c>
      <c r="H142" s="278">
        <f>IF($B142&lt;=$E$4*12,(IF(G142=G141,0,-Input!$G$13*Input!$G$14)),"")</f>
      </c>
      <c r="I142" s="278">
        <f>IF(B142&lt;=$E$4*12,(-($G$7*0.001)*($G$9/12)*Input!$G$24*$G$6),"")</f>
      </c>
      <c r="J142" s="286">
        <f t="shared" si="11"/>
      </c>
      <c r="K142" s="299">
        <f t="shared" si="15"/>
      </c>
      <c r="L142" s="304">
        <f t="shared" si="12"/>
      </c>
      <c r="M142" s="314"/>
    </row>
    <row r="143" spans="1:13" ht="12" hidden="1">
      <c r="A143" s="274"/>
      <c r="B143" s="275" t="s">
        <v>117</v>
      </c>
      <c r="C143" s="274"/>
      <c r="D143" s="274"/>
      <c r="E143" s="274"/>
      <c r="F143" s="274"/>
      <c r="G143" s="274"/>
      <c r="H143" s="274"/>
      <c r="I143" s="274"/>
      <c r="J143" s="274"/>
      <c r="K143" s="276"/>
      <c r="L143" s="277"/>
      <c r="M143" s="315"/>
    </row>
    <row r="144" spans="1:13" ht="12">
      <c r="A144" s="274"/>
      <c r="B144" s="274"/>
      <c r="C144" s="274"/>
      <c r="D144" s="274"/>
      <c r="E144" s="274"/>
      <c r="F144" s="274"/>
      <c r="G144" s="274"/>
      <c r="H144" s="274"/>
      <c r="I144" s="274"/>
      <c r="J144" s="274"/>
      <c r="K144" s="276"/>
      <c r="L144" s="277"/>
      <c r="M144" s="315"/>
    </row>
    <row r="145" spans="1:13" ht="12">
      <c r="A145" s="274"/>
      <c r="B145" s="274"/>
      <c r="C145" s="274"/>
      <c r="D145" s="274"/>
      <c r="E145" s="274"/>
      <c r="F145" s="274"/>
      <c r="G145" s="274"/>
      <c r="H145" s="274"/>
      <c r="I145" s="274"/>
      <c r="J145" s="274"/>
      <c r="K145" s="276"/>
      <c r="L145" s="277"/>
      <c r="M145" s="315"/>
    </row>
  </sheetData>
  <sheetProtection password="DDC2" sheet="1" formatRows="0"/>
  <mergeCells count="6">
    <mergeCell ref="C19:F19"/>
    <mergeCell ref="B19:B21"/>
    <mergeCell ref="K19:K20"/>
    <mergeCell ref="L19:L20"/>
    <mergeCell ref="C20:C21"/>
    <mergeCell ref="G20:G21"/>
  </mergeCells>
  <printOptions/>
  <pageMargins left="0.7" right="0.7" top="0.75" bottom="0.75" header="0.3" footer="0.3"/>
  <pageSetup fitToHeight="1" fitToWidth="1" horizontalDpi="600" verticalDpi="600" orientation="landscape" paperSize="9" scale="82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D103"/>
  <sheetViews>
    <sheetView zoomScalePageLayoutView="0" workbookViewId="0" topLeftCell="A1">
      <selection activeCell="K21" sqref="K21"/>
    </sheetView>
  </sheetViews>
  <sheetFormatPr defaultColWidth="9.00390625" defaultRowHeight="14.25"/>
  <cols>
    <col min="1" max="1" width="23.00390625" style="2" customWidth="1"/>
    <col min="2" max="2" width="9.375" style="2" hidden="1" customWidth="1"/>
    <col min="3" max="3" width="41.75390625" style="2" hidden="1" customWidth="1"/>
    <col min="4" max="4" width="52.00390625" style="2" hidden="1" customWidth="1"/>
    <col min="5" max="16384" width="9.00390625" style="2" customWidth="1"/>
  </cols>
  <sheetData>
    <row r="1" ht="12.75">
      <c r="A1" s="105" t="str">
        <f>IF($A$2,"English","Chinese")</f>
        <v>Chinese</v>
      </c>
    </row>
    <row r="2" spans="1:2" ht="12.75" hidden="1">
      <c r="A2" s="9" t="b">
        <v>0</v>
      </c>
      <c r="B2" s="54" t="s">
        <v>4</v>
      </c>
    </row>
    <row r="3" spans="1:2" ht="12.75">
      <c r="A3" s="9"/>
      <c r="B3" s="54"/>
    </row>
    <row r="5" spans="1:4" ht="13.5" thickBot="1">
      <c r="A5" s="55" t="s">
        <v>6</v>
      </c>
      <c r="B5" s="55"/>
      <c r="C5" s="55" t="s">
        <v>7</v>
      </c>
      <c r="D5" s="55" t="s">
        <v>5</v>
      </c>
    </row>
    <row r="6" spans="1:4" ht="13.5" thickTop="1">
      <c r="A6" s="2" t="str">
        <f aca="true" t="shared" si="0" ref="A6:A15">IF($A$2,$C6,$D6)</f>
        <v>照明节能改造全寿命成本收益分析</v>
      </c>
      <c r="B6" s="2">
        <v>2</v>
      </c>
      <c r="C6" s="2" t="s">
        <v>8</v>
      </c>
      <c r="D6" s="31" t="s">
        <v>133</v>
      </c>
    </row>
    <row r="7" spans="1:4" ht="12.75">
      <c r="A7" s="2" t="str">
        <f t="shared" si="0"/>
        <v>输入更换灯泡（管）的信息</v>
      </c>
      <c r="B7" s="2">
        <v>3</v>
      </c>
      <c r="C7" s="2" t="s">
        <v>239</v>
      </c>
      <c r="D7" s="31" t="s">
        <v>240</v>
      </c>
    </row>
    <row r="8" spans="1:4" ht="12.75">
      <c r="A8" s="2" t="str">
        <f t="shared" si="0"/>
        <v>现有灯泡（管）</v>
      </c>
      <c r="B8" s="2">
        <v>4</v>
      </c>
      <c r="C8" s="2" t="s">
        <v>141</v>
      </c>
      <c r="D8" s="31" t="s">
        <v>9</v>
      </c>
    </row>
    <row r="9" spans="1:4" ht="12.75">
      <c r="A9" s="2" t="str">
        <f t="shared" si="0"/>
        <v>灯泡（管）型号</v>
      </c>
      <c r="B9" s="2">
        <v>5</v>
      </c>
      <c r="C9" s="2" t="s">
        <v>15</v>
      </c>
      <c r="D9" s="31" t="s">
        <v>10</v>
      </c>
    </row>
    <row r="10" spans="1:4" ht="12.75">
      <c r="A10" s="2" t="str">
        <f t="shared" si="0"/>
        <v>功率</v>
      </c>
      <c r="B10" s="2">
        <v>6</v>
      </c>
      <c r="C10" s="2" t="s">
        <v>129</v>
      </c>
      <c r="D10" s="31" t="s">
        <v>130</v>
      </c>
    </row>
    <row r="11" spans="1:4" ht="12.75">
      <c r="A11" s="2" t="str">
        <f t="shared" si="0"/>
        <v>(W)</v>
      </c>
      <c r="C11" s="31" t="s">
        <v>131</v>
      </c>
      <c r="D11" s="31" t="s">
        <v>132</v>
      </c>
    </row>
    <row r="12" spans="1:4" ht="12.75">
      <c r="A12" s="2" t="str">
        <f t="shared" si="0"/>
        <v>灯泡（管）寿命</v>
      </c>
      <c r="B12" s="2">
        <v>7</v>
      </c>
      <c r="C12" s="2" t="s">
        <v>134</v>
      </c>
      <c r="D12" s="31" t="s">
        <v>135</v>
      </c>
    </row>
    <row r="13" spans="1:4" ht="12.75">
      <c r="A13" s="2" t="str">
        <f t="shared" si="0"/>
        <v>(小时)</v>
      </c>
      <c r="C13" s="2" t="s">
        <v>136</v>
      </c>
      <c r="D13" s="31" t="s">
        <v>137</v>
      </c>
    </row>
    <row r="14" spans="1:4" ht="12.75">
      <c r="A14" s="2" t="str">
        <f t="shared" si="0"/>
        <v>每年使用照明灯具时间</v>
      </c>
      <c r="C14" s="2" t="s">
        <v>36</v>
      </c>
      <c r="D14" s="31" t="s">
        <v>138</v>
      </c>
    </row>
    <row r="15" spans="1:4" ht="12.75">
      <c r="A15" s="2" t="str">
        <f t="shared" si="0"/>
        <v>(小时/年)</v>
      </c>
      <c r="C15" s="2" t="s">
        <v>139</v>
      </c>
      <c r="D15" s="31" t="s">
        <v>140</v>
      </c>
    </row>
    <row r="16" spans="1:4" ht="12.75">
      <c r="A16" s="2" t="str">
        <f aca="true" t="shared" si="1" ref="A16:A59">IF($A$2,$C16,$D16)</f>
        <v>灯泡单价</v>
      </c>
      <c r="C16" s="2" t="s">
        <v>126</v>
      </c>
      <c r="D16" s="31" t="s">
        <v>127</v>
      </c>
    </row>
    <row r="17" spans="1:4" ht="12.75">
      <c r="A17" s="2" t="str">
        <f t="shared" si="1"/>
        <v>一次性更换的现有灯泡（管）数量</v>
      </c>
      <c r="C17" s="2" t="s">
        <v>142</v>
      </c>
      <c r="D17" s="31" t="s">
        <v>144</v>
      </c>
    </row>
    <row r="18" spans="1:4" ht="12.75">
      <c r="A18" s="2" t="str">
        <f>IF($A$2,"",$D18)</f>
        <v>(只)</v>
      </c>
      <c r="D18" s="31" t="s">
        <v>145</v>
      </c>
    </row>
    <row r="19" spans="1:4" ht="12.75">
      <c r="A19" s="2" t="str">
        <f t="shared" si="1"/>
        <v>新灯泡（管）</v>
      </c>
      <c r="C19" s="2" t="s">
        <v>143</v>
      </c>
      <c r="D19" s="31" t="s">
        <v>11</v>
      </c>
    </row>
    <row r="20" spans="1:4" ht="12.75">
      <c r="A20" s="2" t="str">
        <f t="shared" si="1"/>
        <v>一次性更换使用的新灯泡（管）数量</v>
      </c>
      <c r="C20" s="2" t="s">
        <v>146</v>
      </c>
      <c r="D20" s="31" t="s">
        <v>147</v>
      </c>
    </row>
    <row r="21" spans="1:4" ht="12.75">
      <c r="A21" s="2" t="str">
        <f t="shared" si="1"/>
        <v>电价</v>
      </c>
      <c r="C21" s="2" t="s">
        <v>148</v>
      </c>
      <c r="D21" s="31" t="s">
        <v>149</v>
      </c>
    </row>
    <row r="22" spans="1:4" ht="12.75">
      <c r="A22" s="2" t="str">
        <f t="shared" si="1"/>
        <v>每度电</v>
      </c>
      <c r="C22" s="2" t="s">
        <v>150</v>
      </c>
      <c r="D22" s="31" t="s">
        <v>151</v>
      </c>
    </row>
    <row r="23" spans="1:4" ht="12.75">
      <c r="A23" s="2" t="str">
        <f t="shared" si="1"/>
        <v>分析期</v>
      </c>
      <c r="C23" s="2" t="s">
        <v>154</v>
      </c>
      <c r="D23" s="31" t="s">
        <v>203</v>
      </c>
    </row>
    <row r="24" spans="1:4" ht="12.75">
      <c r="A24" s="2" t="str">
        <f t="shared" si="1"/>
        <v>(年)</v>
      </c>
      <c r="C24" s="2" t="s">
        <v>155</v>
      </c>
      <c r="D24" s="31" t="s">
        <v>156</v>
      </c>
    </row>
    <row r="25" spans="1:4" ht="12.75">
      <c r="A25" s="2" t="str">
        <f t="shared" si="1"/>
        <v>货币</v>
      </c>
      <c r="C25" s="2" t="s">
        <v>152</v>
      </c>
      <c r="D25" s="31" t="s">
        <v>153</v>
      </c>
    </row>
    <row r="26" spans="1:4" ht="12.75">
      <c r="A26" s="2" t="str">
        <f t="shared" si="1"/>
        <v>成本收益</v>
      </c>
      <c r="C26" s="2" t="s">
        <v>12</v>
      </c>
      <c r="D26" s="31" t="s">
        <v>13</v>
      </c>
    </row>
    <row r="27" spans="1:4" ht="12.75">
      <c r="A27" s="2" t="str">
        <f t="shared" si="1"/>
        <v>现金流比较图</v>
      </c>
      <c r="C27" s="2" t="s">
        <v>237</v>
      </c>
      <c r="D27" s="31" t="s">
        <v>238</v>
      </c>
    </row>
    <row r="28" spans="1:4" ht="12.75" customHeight="1">
      <c r="A28" s="46"/>
      <c r="B28" s="46"/>
      <c r="C28" s="248" t="s">
        <v>185</v>
      </c>
      <c r="D28" s="202"/>
    </row>
    <row r="29" spans="1:4" ht="12.75">
      <c r="A29" s="2" t="str">
        <f t="shared" si="1"/>
        <v>成本收益分析</v>
      </c>
      <c r="C29" s="2" t="s">
        <v>157</v>
      </c>
      <c r="D29" s="31" t="s">
        <v>158</v>
      </c>
    </row>
    <row r="30" spans="1:4" ht="12.75">
      <c r="A30" s="2" t="str">
        <f t="shared" si="1"/>
        <v>灯泡（管）信息</v>
      </c>
      <c r="C30" s="2" t="s">
        <v>159</v>
      </c>
      <c r="D30" s="31" t="s">
        <v>160</v>
      </c>
    </row>
    <row r="31" spans="1:4" ht="12.75">
      <c r="A31" s="2" t="str">
        <f t="shared" si="1"/>
        <v>现有灯泡（管）</v>
      </c>
      <c r="C31" s="2" t="s">
        <v>166</v>
      </c>
      <c r="D31" s="31" t="s">
        <v>9</v>
      </c>
    </row>
    <row r="32" spans="1:4" ht="12.75">
      <c r="A32" s="2" t="str">
        <f t="shared" si="1"/>
        <v>寿命</v>
      </c>
      <c r="C32" s="2" t="s">
        <v>161</v>
      </c>
      <c r="D32" s="31" t="s">
        <v>162</v>
      </c>
    </row>
    <row r="33" spans="1:4" ht="12.75">
      <c r="A33" s="2" t="str">
        <f t="shared" si="1"/>
        <v>小时</v>
      </c>
      <c r="C33" s="2" t="s">
        <v>163</v>
      </c>
      <c r="D33" s="31" t="s">
        <v>164</v>
      </c>
    </row>
    <row r="34" spans="1:4" ht="12.75">
      <c r="A34" s="2" t="str">
        <f t="shared" si="1"/>
        <v>功率</v>
      </c>
      <c r="C34" s="2" t="s">
        <v>167</v>
      </c>
      <c r="D34" s="31" t="s">
        <v>168</v>
      </c>
    </row>
    <row r="35" spans="1:4" ht="12.75">
      <c r="A35" s="2" t="str">
        <f t="shared" si="1"/>
        <v>新灯泡（管）</v>
      </c>
      <c r="C35" s="2" t="s">
        <v>165</v>
      </c>
      <c r="D35" s="31" t="s">
        <v>11</v>
      </c>
    </row>
    <row r="36" spans="1:4" ht="12.75">
      <c r="A36" s="2" t="str">
        <f t="shared" si="1"/>
        <v>简单投资回收期</v>
      </c>
      <c r="C36" s="2" t="s">
        <v>169</v>
      </c>
      <c r="D36" s="31" t="s">
        <v>170</v>
      </c>
    </row>
    <row r="37" spans="1:4" ht="12.75">
      <c r="A37" s="2" t="str">
        <f t="shared" si="1"/>
        <v>单只灯泡（管）替换</v>
      </c>
      <c r="C37" s="2" t="s">
        <v>173</v>
      </c>
      <c r="D37" s="31" t="s">
        <v>171</v>
      </c>
    </row>
    <row r="38" spans="1:4" ht="12.75">
      <c r="A38" s="2" t="str">
        <f t="shared" si="1"/>
        <v>多只灯泡（管）替换</v>
      </c>
      <c r="C38" s="2" t="s">
        <v>172</v>
      </c>
      <c r="D38" s="31" t="s">
        <v>174</v>
      </c>
    </row>
    <row r="39" spans="1:4" ht="12.75">
      <c r="A39" s="2" t="str">
        <f t="shared" si="1"/>
        <v>只新灯泡（管）使用</v>
      </c>
      <c r="C39" s="2" t="s">
        <v>181</v>
      </c>
      <c r="D39" s="31" t="s">
        <v>182</v>
      </c>
    </row>
    <row r="40" spans="1:4" ht="12.75">
      <c r="A40" s="2" t="str">
        <f t="shared" si="1"/>
        <v>初始投资</v>
      </c>
      <c r="C40" s="2" t="s">
        <v>175</v>
      </c>
      <c r="D40" s="31" t="s">
        <v>176</v>
      </c>
    </row>
    <row r="41" spans="1:4" ht="12.75">
      <c r="A41" s="2" t="str">
        <f t="shared" si="1"/>
        <v>投资回收期</v>
      </c>
      <c r="C41" s="2" t="s">
        <v>177</v>
      </c>
      <c r="D41" s="31" t="s">
        <v>178</v>
      </c>
    </row>
    <row r="42" spans="1:4" ht="12.75">
      <c r="A42" s="2" t="str">
        <f t="shared" si="1"/>
        <v>年 （或）</v>
      </c>
      <c r="C42" s="2" t="s">
        <v>179</v>
      </c>
      <c r="D42" s="31" t="s">
        <v>180</v>
      </c>
    </row>
    <row r="43" spans="1:4" ht="12.75">
      <c r="A43" s="246" t="str">
        <f t="shared" si="1"/>
        <v>月</v>
      </c>
      <c r="B43" s="246"/>
      <c r="C43" s="246" t="s">
        <v>183</v>
      </c>
      <c r="D43" s="247" t="s">
        <v>184</v>
      </c>
    </row>
    <row r="44" spans="1:4" ht="12.75">
      <c r="A44" s="246" t="str">
        <f t="shared" si="1"/>
        <v>成本和节约</v>
      </c>
      <c r="C44" s="2" t="s">
        <v>186</v>
      </c>
      <c r="D44" s="31" t="s">
        <v>187</v>
      </c>
    </row>
    <row r="45" spans="1:4" ht="12.75">
      <c r="A45" s="246" t="str">
        <f t="shared" si="1"/>
        <v>分析期</v>
      </c>
      <c r="C45" s="2" t="s">
        <v>188</v>
      </c>
      <c r="D45" s="31" t="s">
        <v>203</v>
      </c>
    </row>
    <row r="46" spans="1:4" ht="12.75">
      <c r="A46" s="246" t="str">
        <f t="shared" si="1"/>
        <v>年</v>
      </c>
      <c r="C46" s="2" t="s">
        <v>211</v>
      </c>
      <c r="D46" s="31" t="s">
        <v>212</v>
      </c>
    </row>
    <row r="47" spans="1:4" ht="12.75">
      <c r="A47" s="246" t="str">
        <f t="shared" si="1"/>
        <v>分析期内成本</v>
      </c>
      <c r="C47" s="2" t="s">
        <v>189</v>
      </c>
      <c r="D47" s="31" t="s">
        <v>202</v>
      </c>
    </row>
    <row r="48" spans="1:4" ht="12.75">
      <c r="A48" s="246" t="str">
        <f t="shared" si="1"/>
        <v>现有灯泡（管）</v>
      </c>
      <c r="C48" s="2" t="s">
        <v>190</v>
      </c>
      <c r="D48" s="31" t="s">
        <v>191</v>
      </c>
    </row>
    <row r="49" spans="1:4" ht="12.75">
      <c r="A49" s="246" t="str">
        <f t="shared" si="1"/>
        <v>新灯泡（管）</v>
      </c>
      <c r="C49" s="2" t="s">
        <v>192</v>
      </c>
      <c r="D49" s="31" t="s">
        <v>200</v>
      </c>
    </row>
    <row r="50" spans="1:4" ht="12.75">
      <c r="A50" s="246" t="str">
        <f t="shared" si="1"/>
        <v>使用的灯泡（管）数量</v>
      </c>
      <c r="C50" s="2" t="s">
        <v>193</v>
      </c>
      <c r="D50" s="31" t="s">
        <v>201</v>
      </c>
    </row>
    <row r="51" spans="1:4" ht="12.75">
      <c r="A51" s="246" t="str">
        <f t="shared" si="1"/>
        <v>购买灯泡（管）费用</v>
      </c>
      <c r="C51" s="2" t="s">
        <v>194</v>
      </c>
      <c r="D51" s="31" t="s">
        <v>204</v>
      </c>
    </row>
    <row r="52" spans="1:4" ht="12.75">
      <c r="A52" s="246" t="str">
        <f t="shared" si="1"/>
        <v>能源费用</v>
      </c>
      <c r="C52" s="2" t="s">
        <v>195</v>
      </c>
      <c r="D52" s="31" t="s">
        <v>205</v>
      </c>
    </row>
    <row r="53" spans="1:4" ht="12.75">
      <c r="A53" s="246" t="str">
        <f t="shared" si="1"/>
        <v>费用成本总计</v>
      </c>
      <c r="C53" s="2" t="s">
        <v>196</v>
      </c>
      <c r="D53" s="31" t="s">
        <v>206</v>
      </c>
    </row>
    <row r="54" spans="1:4" ht="12.75">
      <c r="A54" s="246" t="str">
        <f t="shared" si="1"/>
        <v>分析期内节约</v>
      </c>
      <c r="C54" s="2" t="s">
        <v>197</v>
      </c>
      <c r="D54" s="31" t="s">
        <v>207</v>
      </c>
    </row>
    <row r="55" spans="1:4" ht="12.75">
      <c r="A55" s="246" t="str">
        <f t="shared" si="1"/>
        <v>环境效益</v>
      </c>
      <c r="C55" s="2" t="s">
        <v>198</v>
      </c>
      <c r="D55" s="31" t="s">
        <v>208</v>
      </c>
    </row>
    <row r="56" spans="1:4" ht="12.75">
      <c r="A56" s="2" t="str">
        <f t="shared" si="1"/>
        <v>节约能源</v>
      </c>
      <c r="C56" s="2" t="s">
        <v>199</v>
      </c>
      <c r="D56" s="31" t="s">
        <v>213</v>
      </c>
    </row>
    <row r="57" spans="1:4" ht="12.75">
      <c r="A57" s="2" t="str">
        <f t="shared" si="1"/>
        <v>减少CO2排放</v>
      </c>
      <c r="C57" s="2" t="s">
        <v>209</v>
      </c>
      <c r="D57" s="31" t="s">
        <v>210</v>
      </c>
    </row>
    <row r="58" spans="1:4" ht="12.75">
      <c r="A58" s="2" t="str">
        <f t="shared" si="1"/>
        <v>返回输入</v>
      </c>
      <c r="C58" s="2" t="s">
        <v>19</v>
      </c>
      <c r="D58" s="31" t="s">
        <v>125</v>
      </c>
    </row>
    <row r="59" spans="1:4" ht="12.75">
      <c r="A59" s="2" t="str">
        <f t="shared" si="1"/>
        <v>现金流</v>
      </c>
      <c r="C59" s="2" t="s">
        <v>237</v>
      </c>
      <c r="D59" s="31" t="s">
        <v>14</v>
      </c>
    </row>
    <row r="60" spans="1:4" ht="12.75">
      <c r="A60" s="256" t="s">
        <v>236</v>
      </c>
      <c r="B60" s="254"/>
      <c r="C60" s="254"/>
      <c r="D60" s="255"/>
    </row>
    <row r="61" spans="1:4" ht="12.75">
      <c r="A61" s="2" t="str">
        <f aca="true" t="shared" si="2" ref="A61:A103">IF($A$2,$C61,$D61)</f>
        <v>现金流比较数据表</v>
      </c>
      <c r="C61" s="2" t="s">
        <v>226</v>
      </c>
      <c r="D61" s="31" t="s">
        <v>227</v>
      </c>
    </row>
    <row r="62" spans="1:4" ht="12.75">
      <c r="A62" s="2" t="str">
        <f t="shared" si="2"/>
        <v>返回输入</v>
      </c>
      <c r="C62" s="2" t="s">
        <v>19</v>
      </c>
      <c r="D62" s="31" t="s">
        <v>128</v>
      </c>
    </row>
    <row r="63" spans="1:4" ht="12.75">
      <c r="A63" s="2" t="str">
        <f>IF($A$2,$C63,$D63)</f>
        <v>月</v>
      </c>
      <c r="C63" s="2" t="s">
        <v>16</v>
      </c>
      <c r="D63" s="31" t="s">
        <v>18</v>
      </c>
    </row>
    <row r="64" spans="1:4" ht="12.75">
      <c r="A64" s="2" t="str">
        <f t="shared" si="2"/>
        <v>新灯泡（管）费用</v>
      </c>
      <c r="C64" s="2" t="s">
        <v>215</v>
      </c>
      <c r="D64" s="31" t="s">
        <v>216</v>
      </c>
    </row>
    <row r="65" spans="1:4" ht="12.75">
      <c r="A65" s="2" t="str">
        <f t="shared" si="2"/>
        <v>现有灯泡（管）费用</v>
      </c>
      <c r="C65" s="2" t="s">
        <v>217</v>
      </c>
      <c r="D65" s="31" t="s">
        <v>218</v>
      </c>
    </row>
    <row r="66" spans="1:4" ht="12.75">
      <c r="A66" s="2" t="str">
        <f t="shared" si="2"/>
        <v>期内每置换点所需更换的灯泡（管）数量</v>
      </c>
      <c r="C66" s="257" t="s">
        <v>224</v>
      </c>
      <c r="D66" s="31" t="s">
        <v>221</v>
      </c>
    </row>
    <row r="67" spans="1:4" ht="12.75">
      <c r="A67" s="2" t="str">
        <f t="shared" si="2"/>
        <v>灯泡（管）购置费用</v>
      </c>
      <c r="C67" s="2" t="s">
        <v>222</v>
      </c>
      <c r="D67" s="31" t="s">
        <v>17</v>
      </c>
    </row>
    <row r="68" spans="1:4" ht="12.75">
      <c r="A68" s="2" t="str">
        <f>IF($A$2,$C68,$D68)</f>
        <v>能源费用</v>
      </c>
      <c r="C68" s="2" t="s">
        <v>223</v>
      </c>
      <c r="D68" s="31" t="s">
        <v>21</v>
      </c>
    </row>
    <row r="69" spans="1:4" ht="12.75">
      <c r="A69" s="2" t="str">
        <f t="shared" si="2"/>
        <v>新灯泡（管）费用支出总计</v>
      </c>
      <c r="B69" s="13"/>
      <c r="C69" s="13" t="s">
        <v>232</v>
      </c>
      <c r="D69" s="269" t="s">
        <v>233</v>
      </c>
    </row>
    <row r="70" spans="1:4" ht="12.75">
      <c r="A70" s="2" t="str">
        <f t="shared" si="2"/>
        <v>现有灯泡（管）费用支出总计</v>
      </c>
      <c r="B70" s="13"/>
      <c r="C70" s="13" t="s">
        <v>234</v>
      </c>
      <c r="D70" s="269" t="s">
        <v>235</v>
      </c>
    </row>
    <row r="71" spans="1:4" ht="12.75">
      <c r="A71" s="2" t="str">
        <f t="shared" si="2"/>
        <v>每月节约费用</v>
      </c>
      <c r="C71" s="2" t="s">
        <v>123</v>
      </c>
      <c r="D71" s="31" t="s">
        <v>20</v>
      </c>
    </row>
    <row r="72" spans="1:4" ht="12.75">
      <c r="A72" s="2" t="str">
        <f t="shared" si="2"/>
        <v>累积节约费用</v>
      </c>
      <c r="C72" s="2" t="s">
        <v>220</v>
      </c>
      <c r="D72" s="31" t="s">
        <v>219</v>
      </c>
    </row>
    <row r="73" spans="1:4" ht="12.75">
      <c r="A73" s="256" t="s">
        <v>214</v>
      </c>
      <c r="B73" s="254"/>
      <c r="C73" s="254"/>
      <c r="D73" s="255"/>
    </row>
    <row r="74" spans="1:4" ht="12.75">
      <c r="A74" s="2" t="str">
        <f t="shared" si="2"/>
        <v>现金流</v>
      </c>
      <c r="C74" s="2" t="s">
        <v>228</v>
      </c>
      <c r="D74" s="31" t="s">
        <v>229</v>
      </c>
    </row>
    <row r="75" spans="1:4" ht="12.75">
      <c r="A75" s="2" t="str">
        <f t="shared" si="2"/>
        <v>现金流比较数据表</v>
      </c>
      <c r="C75" s="2" t="s">
        <v>226</v>
      </c>
      <c r="D75" s="31" t="s">
        <v>227</v>
      </c>
    </row>
    <row r="76" spans="1:4" ht="12.75">
      <c r="A76" s="2" t="str">
        <f t="shared" si="2"/>
        <v>月</v>
      </c>
      <c r="C76" s="2" t="s">
        <v>0</v>
      </c>
      <c r="D76" s="31" t="s">
        <v>184</v>
      </c>
    </row>
    <row r="77" ht="12.75">
      <c r="A77" s="2">
        <f t="shared" si="2"/>
        <v>0</v>
      </c>
    </row>
    <row r="78" spans="1:4" ht="12.75">
      <c r="A78" s="2" t="str">
        <f t="shared" si="2"/>
        <v>打印</v>
      </c>
      <c r="C78" s="2" t="s">
        <v>242</v>
      </c>
      <c r="D78" s="31" t="s">
        <v>243</v>
      </c>
    </row>
    <row r="79" ht="12.75">
      <c r="A79" s="2">
        <f t="shared" si="2"/>
        <v>0</v>
      </c>
    </row>
    <row r="80" ht="12.75">
      <c r="A80" s="2">
        <f t="shared" si="2"/>
        <v>0</v>
      </c>
    </row>
    <row r="81" ht="12.75">
      <c r="A81" s="2">
        <f t="shared" si="2"/>
        <v>0</v>
      </c>
    </row>
    <row r="82" ht="12.75">
      <c r="A82" s="2">
        <f t="shared" si="2"/>
        <v>0</v>
      </c>
    </row>
    <row r="83" ht="12.75">
      <c r="A83" s="2">
        <f t="shared" si="2"/>
        <v>0</v>
      </c>
    </row>
    <row r="84" ht="12.75">
      <c r="A84" s="2">
        <f t="shared" si="2"/>
        <v>0</v>
      </c>
    </row>
    <row r="85" ht="12.75">
      <c r="A85" s="2">
        <f t="shared" si="2"/>
        <v>0</v>
      </c>
    </row>
    <row r="86" ht="12.75">
      <c r="A86" s="2">
        <f t="shared" si="2"/>
        <v>0</v>
      </c>
    </row>
    <row r="87" ht="12.75">
      <c r="A87" s="2">
        <f t="shared" si="2"/>
        <v>0</v>
      </c>
    </row>
    <row r="88" ht="12.75">
      <c r="A88" s="2">
        <f t="shared" si="2"/>
        <v>0</v>
      </c>
    </row>
    <row r="89" ht="12.75">
      <c r="A89" s="2">
        <f t="shared" si="2"/>
        <v>0</v>
      </c>
    </row>
    <row r="90" ht="12.75">
      <c r="A90" s="2">
        <f t="shared" si="2"/>
        <v>0</v>
      </c>
    </row>
    <row r="91" ht="12.75">
      <c r="A91" s="2">
        <f t="shared" si="2"/>
        <v>0</v>
      </c>
    </row>
    <row r="92" ht="12.75">
      <c r="A92" s="2">
        <f t="shared" si="2"/>
        <v>0</v>
      </c>
    </row>
    <row r="93" ht="12.75">
      <c r="A93" s="2">
        <f t="shared" si="2"/>
        <v>0</v>
      </c>
    </row>
    <row r="94" ht="12.75">
      <c r="A94" s="2">
        <f t="shared" si="2"/>
        <v>0</v>
      </c>
    </row>
    <row r="95" ht="12.75">
      <c r="A95" s="2">
        <f t="shared" si="2"/>
        <v>0</v>
      </c>
    </row>
    <row r="96" ht="12.75">
      <c r="A96" s="2">
        <f t="shared" si="2"/>
        <v>0</v>
      </c>
    </row>
    <row r="97" ht="12.75">
      <c r="A97" s="2">
        <f t="shared" si="2"/>
        <v>0</v>
      </c>
    </row>
    <row r="98" ht="12.75">
      <c r="A98" s="2">
        <f t="shared" si="2"/>
        <v>0</v>
      </c>
    </row>
    <row r="99" ht="12.75">
      <c r="A99" s="2">
        <f t="shared" si="2"/>
        <v>0</v>
      </c>
    </row>
    <row r="100" ht="12.75">
      <c r="A100" s="2">
        <f t="shared" si="2"/>
        <v>0</v>
      </c>
    </row>
    <row r="101" ht="12.75">
      <c r="A101" s="2">
        <f t="shared" si="2"/>
        <v>0</v>
      </c>
    </row>
    <row r="102" ht="12.75">
      <c r="A102" s="2">
        <f t="shared" si="2"/>
        <v>0</v>
      </c>
    </row>
    <row r="103" ht="12.75">
      <c r="A103" s="2">
        <f t="shared" si="2"/>
        <v>0</v>
      </c>
    </row>
  </sheetData>
  <sheetProtection selectLockedCells="1" selectUnlockedCells="1"/>
  <protectedRanges>
    <protectedRange sqref="A2" name="区域1"/>
  </protectedRange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C6" sqref="C6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Yb.Zhao</dc:creator>
  <cp:keywords/>
  <dc:description/>
  <cp:lastModifiedBy>Szum, Carolyn</cp:lastModifiedBy>
  <cp:lastPrinted>2011-11-11T05:51:48Z</cp:lastPrinted>
  <dcterms:created xsi:type="dcterms:W3CDTF">2009-12-08T15:42:05Z</dcterms:created>
  <dcterms:modified xsi:type="dcterms:W3CDTF">2012-06-25T10:42:32Z</dcterms:modified>
  <cp:category/>
  <cp:version/>
  <cp:contentType/>
  <cp:contentStatus/>
</cp:coreProperties>
</file>